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A\FSF\Pénzügyi intézmények\II.1 MNB RENDELETEK, GYIK-ok\2024-re Pénzpiaci MNB rend\12. Honlapra\Hitelintézetek\Technikai segédletek\"/>
    </mc:Choice>
  </mc:AlternateContent>
  <xr:revisionPtr revIDLastSave="0" documentId="13_ncr:1_{286A77B0-D146-47A0-BA08-9CA1628840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rtalom" sheetId="10" r:id="rId1"/>
    <sheet name="9R1" sheetId="3" r:id="rId2"/>
    <sheet name="1_corp_loan" sheetId="4" r:id="rId3"/>
    <sheet name="2_mortg_float" sheetId="5" r:id="rId4"/>
    <sheet name="3_mortg_prep" sheetId="11" r:id="rId5"/>
    <sheet name="4_retail_nmd" sheetId="6" r:id="rId6"/>
    <sheet name="5_IRS" sheetId="12" r:id="rId7"/>
    <sheet name="6_CCIRS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1" l="1"/>
  <c r="J7" i="4"/>
  <c r="I5" i="6"/>
  <c r="J9" i="12"/>
  <c r="J8" i="12"/>
  <c r="B23" i="12"/>
  <c r="J6" i="12" s="1"/>
  <c r="B25" i="12"/>
  <c r="J7" i="12" s="1"/>
  <c r="B21" i="12"/>
  <c r="J5" i="12" s="1"/>
  <c r="C20" i="12"/>
  <c r="J10" i="12" s="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F47" i="11"/>
  <c r="G47" i="11" s="1"/>
  <c r="J46" i="11"/>
  <c r="G46" i="11"/>
  <c r="C39" i="11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29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B30" i="4" s="1"/>
  <c r="C29" i="4"/>
  <c r="F29" i="4" s="1"/>
  <c r="J6" i="4" s="1"/>
  <c r="C31" i="7"/>
  <c r="C30" i="7"/>
  <c r="J11" i="7" s="1"/>
  <c r="C29" i="7"/>
  <c r="J10" i="7" s="1"/>
  <c r="C28" i="7"/>
  <c r="J9" i="7" s="1"/>
  <c r="C27" i="7"/>
  <c r="J8" i="7" s="1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36" i="5"/>
  <c r="C29" i="5"/>
  <c r="C40" i="5" s="1"/>
  <c r="C76" i="5"/>
  <c r="C92" i="5"/>
  <c r="C144" i="5"/>
  <c r="C148" i="5"/>
  <c r="C152" i="5"/>
  <c r="C37" i="5"/>
  <c r="D36" i="5"/>
  <c r="C95" i="5"/>
  <c r="C38" i="5"/>
  <c r="C41" i="5"/>
  <c r="C45" i="5"/>
  <c r="C49" i="5"/>
  <c r="C53" i="5"/>
  <c r="C57" i="5"/>
  <c r="C61" i="5"/>
  <c r="C65" i="5"/>
  <c r="C69" i="5"/>
  <c r="C73" i="5"/>
  <c r="C77" i="5"/>
  <c r="C81" i="5"/>
  <c r="C85" i="5"/>
  <c r="C89" i="5"/>
  <c r="C93" i="5"/>
  <c r="C97" i="5"/>
  <c r="C101" i="5"/>
  <c r="C105" i="5"/>
  <c r="C109" i="5"/>
  <c r="C113" i="5"/>
  <c r="C117" i="5"/>
  <c r="C121" i="5"/>
  <c r="C125" i="5"/>
  <c r="C129" i="5"/>
  <c r="C133" i="5"/>
  <c r="C137" i="5"/>
  <c r="C141" i="5"/>
  <c r="C145" i="5"/>
  <c r="C149" i="5"/>
  <c r="C153" i="5"/>
  <c r="C43" i="5"/>
  <c r="C59" i="5"/>
  <c r="C67" i="5"/>
  <c r="C75" i="5"/>
  <c r="C83" i="5"/>
  <c r="C91" i="5"/>
  <c r="C103" i="5"/>
  <c r="C111" i="5"/>
  <c r="C119" i="5"/>
  <c r="C127" i="5"/>
  <c r="C135" i="5"/>
  <c r="C143" i="5"/>
  <c r="C151" i="5"/>
  <c r="C36" i="5"/>
  <c r="C42" i="5"/>
  <c r="C46" i="5"/>
  <c r="C50" i="5"/>
  <c r="C54" i="5"/>
  <c r="C58" i="5"/>
  <c r="C62" i="5"/>
  <c r="C66" i="5"/>
  <c r="C70" i="5"/>
  <c r="C74" i="5"/>
  <c r="C78" i="5"/>
  <c r="C82" i="5"/>
  <c r="C86" i="5"/>
  <c r="C90" i="5"/>
  <c r="C94" i="5"/>
  <c r="C98" i="5"/>
  <c r="C102" i="5"/>
  <c r="C106" i="5"/>
  <c r="C110" i="5"/>
  <c r="C114" i="5"/>
  <c r="C118" i="5"/>
  <c r="C122" i="5"/>
  <c r="C126" i="5"/>
  <c r="C130" i="5"/>
  <c r="C134" i="5"/>
  <c r="C138" i="5"/>
  <c r="C142" i="5"/>
  <c r="C146" i="5"/>
  <c r="C150" i="5"/>
  <c r="C154" i="5"/>
  <c r="C39" i="5"/>
  <c r="C47" i="5"/>
  <c r="C51" i="5"/>
  <c r="C55" i="5"/>
  <c r="C63" i="5"/>
  <c r="C71" i="5"/>
  <c r="C79" i="5"/>
  <c r="C87" i="5"/>
  <c r="C99" i="5"/>
  <c r="C107" i="5"/>
  <c r="C115" i="5"/>
  <c r="C123" i="5"/>
  <c r="C131" i="5"/>
  <c r="C139" i="5"/>
  <c r="C147" i="5"/>
  <c r="C155" i="5"/>
  <c r="J6" i="7"/>
  <c r="J12" i="7"/>
  <c r="C26" i="7"/>
  <c r="J7" i="7" s="1"/>
  <c r="B26" i="7"/>
  <c r="J5" i="7" s="1"/>
  <c r="C140" i="5" l="1"/>
  <c r="C136" i="5"/>
  <c r="C132" i="5"/>
  <c r="C128" i="5"/>
  <c r="C124" i="5"/>
  <c r="C68" i="5"/>
  <c r="C120" i="5"/>
  <c r="C116" i="5"/>
  <c r="C112" i="5"/>
  <c r="C108" i="5"/>
  <c r="C60" i="5"/>
  <c r="C104" i="5"/>
  <c r="C100" i="5"/>
  <c r="C84" i="5"/>
  <c r="C96" i="5"/>
  <c r="C88" i="5"/>
  <c r="F48" i="11"/>
  <c r="C72" i="5"/>
  <c r="C56" i="5"/>
  <c r="C80" i="5"/>
  <c r="C64" i="5"/>
  <c r="D46" i="11"/>
  <c r="K46" i="11" s="1"/>
  <c r="I5" i="11" s="1"/>
  <c r="C46" i="11"/>
  <c r="C52" i="5"/>
  <c r="C48" i="5"/>
  <c r="C44" i="5"/>
  <c r="B31" i="4"/>
  <c r="C30" i="4"/>
  <c r="E36" i="5"/>
  <c r="G36" i="5"/>
  <c r="J5" i="5" s="1"/>
  <c r="F49" i="11"/>
  <c r="G48" i="11"/>
  <c r="E46" i="11" l="1"/>
  <c r="H46" i="11" s="1"/>
  <c r="L46" i="11" s="1"/>
  <c r="C31" i="4"/>
  <c r="F30" i="4" s="1"/>
  <c r="B32" i="4"/>
  <c r="G49" i="11"/>
  <c r="F50" i="11"/>
  <c r="H36" i="5"/>
  <c r="J15" i="5" s="1"/>
  <c r="B37" i="5"/>
  <c r="I46" i="11" l="1"/>
  <c r="B47" i="11" s="1"/>
  <c r="C32" i="4"/>
  <c r="B33" i="4"/>
  <c r="J5" i="4"/>
  <c r="D47" i="11"/>
  <c r="C47" i="11"/>
  <c r="D37" i="5"/>
  <c r="F51" i="11"/>
  <c r="G50" i="11"/>
  <c r="E47" i="11" l="1"/>
  <c r="H47" i="11" s="1"/>
  <c r="I47" i="11" s="1"/>
  <c r="B48" i="11" s="1"/>
  <c r="B34" i="4"/>
  <c r="C33" i="4"/>
  <c r="F52" i="11"/>
  <c r="G51" i="11"/>
  <c r="E37" i="5"/>
  <c r="B35" i="4" l="1"/>
  <c r="C34" i="4"/>
  <c r="F32" i="4" s="1"/>
  <c r="C48" i="11"/>
  <c r="D48" i="11"/>
  <c r="K47" i="11" s="1"/>
  <c r="I6" i="11" s="1"/>
  <c r="G52" i="11"/>
  <c r="F53" i="11"/>
  <c r="B38" i="5"/>
  <c r="J8" i="4" l="1"/>
  <c r="B36" i="4"/>
  <c r="C35" i="4"/>
  <c r="E48" i="11"/>
  <c r="G53" i="11"/>
  <c r="F54" i="11"/>
  <c r="D38" i="5"/>
  <c r="B37" i="4" l="1"/>
  <c r="C36" i="4"/>
  <c r="E38" i="5"/>
  <c r="G37" i="5"/>
  <c r="J6" i="5" s="1"/>
  <c r="H48" i="11"/>
  <c r="I48" i="11" s="1"/>
  <c r="B49" i="11" s="1"/>
  <c r="G54" i="11"/>
  <c r="F55" i="11"/>
  <c r="L47" i="11" l="1"/>
  <c r="I21" i="11" s="1"/>
  <c r="C37" i="4"/>
  <c r="F35" i="4" s="1"/>
  <c r="J9" i="4" s="1"/>
  <c r="B38" i="4"/>
  <c r="H37" i="5"/>
  <c r="J16" i="5" s="1"/>
  <c r="B39" i="5"/>
  <c r="C49" i="11"/>
  <c r="D49" i="11"/>
  <c r="F56" i="11"/>
  <c r="G55" i="11"/>
  <c r="B39" i="4" l="1"/>
  <c r="C38" i="4"/>
  <c r="D39" i="5"/>
  <c r="G56" i="11"/>
  <c r="F57" i="11"/>
  <c r="E49" i="11"/>
  <c r="B40" i="4" l="1"/>
  <c r="C39" i="4"/>
  <c r="H49" i="11"/>
  <c r="I49" i="11" s="1"/>
  <c r="B50" i="11" s="1"/>
  <c r="E39" i="5"/>
  <c r="F58" i="11"/>
  <c r="G57" i="11"/>
  <c r="B41" i="4" l="1"/>
  <c r="C40" i="4"/>
  <c r="F38" i="4" s="1"/>
  <c r="J10" i="4" s="1"/>
  <c r="C50" i="11"/>
  <c r="D50" i="11"/>
  <c r="F59" i="11"/>
  <c r="G58" i="11"/>
  <c r="B40" i="5"/>
  <c r="B42" i="4" l="1"/>
  <c r="C41" i="4"/>
  <c r="D40" i="5"/>
  <c r="F60" i="11"/>
  <c r="G59" i="11"/>
  <c r="E50" i="11"/>
  <c r="B43" i="4" l="1"/>
  <c r="C42" i="4"/>
  <c r="H50" i="11"/>
  <c r="I50" i="11" s="1"/>
  <c r="B51" i="11" s="1"/>
  <c r="E40" i="5"/>
  <c r="F61" i="11"/>
  <c r="G60" i="11"/>
  <c r="C43" i="4" l="1"/>
  <c r="B44" i="4"/>
  <c r="C51" i="11"/>
  <c r="D51" i="11"/>
  <c r="K49" i="11" s="1"/>
  <c r="I7" i="11" s="1"/>
  <c r="F62" i="11"/>
  <c r="G61" i="11"/>
  <c r="B41" i="5"/>
  <c r="B45" i="4" l="1"/>
  <c r="C44" i="4"/>
  <c r="D41" i="5"/>
  <c r="F63" i="11"/>
  <c r="G62" i="11"/>
  <c r="E51" i="11"/>
  <c r="B46" i="4" l="1"/>
  <c r="C45" i="4"/>
  <c r="H51" i="11"/>
  <c r="I51" i="11" s="1"/>
  <c r="B52" i="11" s="1"/>
  <c r="G63" i="11"/>
  <c r="F64" i="11"/>
  <c r="E41" i="5"/>
  <c r="G39" i="5"/>
  <c r="J7" i="5" s="1"/>
  <c r="B47" i="4" l="1"/>
  <c r="C46" i="4"/>
  <c r="F41" i="4" s="1"/>
  <c r="J11" i="4" s="1"/>
  <c r="C52" i="11"/>
  <c r="D52" i="11"/>
  <c r="H39" i="5"/>
  <c r="J17" i="5" s="1"/>
  <c r="B42" i="5"/>
  <c r="L49" i="11"/>
  <c r="I22" i="11" s="1"/>
  <c r="G64" i="11"/>
  <c r="F65" i="11"/>
  <c r="E52" i="11" l="1"/>
  <c r="C47" i="4"/>
  <c r="B48" i="4"/>
  <c r="G65" i="11"/>
  <c r="F66" i="11"/>
  <c r="D42" i="5"/>
  <c r="H52" i="11"/>
  <c r="I52" i="11" s="1"/>
  <c r="B53" i="11" s="1"/>
  <c r="C48" i="4" l="1"/>
  <c r="B49" i="4"/>
  <c r="D53" i="11"/>
  <c r="C53" i="11"/>
  <c r="E42" i="5"/>
  <c r="F67" i="11"/>
  <c r="G66" i="11"/>
  <c r="E53" i="11" l="1"/>
  <c r="H53" i="11" s="1"/>
  <c r="I53" i="11" s="1"/>
  <c r="B54" i="11" s="1"/>
  <c r="B50" i="4"/>
  <c r="C49" i="4"/>
  <c r="C54" i="11"/>
  <c r="D54" i="11"/>
  <c r="K52" i="11" s="1"/>
  <c r="I8" i="11" s="1"/>
  <c r="F68" i="11"/>
  <c r="G67" i="11"/>
  <c r="B43" i="5"/>
  <c r="E54" i="11" l="1"/>
  <c r="H54" i="11" s="1"/>
  <c r="I54" i="11" s="1"/>
  <c r="B55" i="11" s="1"/>
  <c r="C50" i="4"/>
  <c r="B51" i="4"/>
  <c r="L52" i="11"/>
  <c r="I23" i="11" s="1"/>
  <c r="D43" i="5"/>
  <c r="F69" i="11"/>
  <c r="G68" i="11"/>
  <c r="C51" i="4" l="1"/>
  <c r="B52" i="4"/>
  <c r="F70" i="11"/>
  <c r="G69" i="11"/>
  <c r="C55" i="11"/>
  <c r="D55" i="11"/>
  <c r="E43" i="5"/>
  <c r="E55" i="11" l="1"/>
  <c r="H55" i="11" s="1"/>
  <c r="I55" i="11" s="1"/>
  <c r="B56" i="11" s="1"/>
  <c r="D56" i="11" s="1"/>
  <c r="C52" i="4"/>
  <c r="F47" i="4" s="1"/>
  <c r="J12" i="4" s="1"/>
  <c r="B53" i="4"/>
  <c r="C56" i="11"/>
  <c r="B44" i="5"/>
  <c r="G70" i="11"/>
  <c r="F71" i="11"/>
  <c r="E56" i="11" l="1"/>
  <c r="H56" i="11" s="1"/>
  <c r="I56" i="11" s="1"/>
  <c r="B57" i="11" s="1"/>
  <c r="B54" i="4"/>
  <c r="C53" i="4"/>
  <c r="C57" i="11"/>
  <c r="D57" i="11"/>
  <c r="K55" i="11" s="1"/>
  <c r="I9" i="11" s="1"/>
  <c r="D44" i="5"/>
  <c r="G71" i="11"/>
  <c r="F72" i="11"/>
  <c r="C54" i="4" l="1"/>
  <c r="B55" i="4"/>
  <c r="G72" i="11"/>
  <c r="F73" i="11"/>
  <c r="E57" i="11"/>
  <c r="E44" i="5"/>
  <c r="G42" i="5"/>
  <c r="J8" i="5" s="1"/>
  <c r="C55" i="4" l="1"/>
  <c r="B56" i="4"/>
  <c r="H42" i="5"/>
  <c r="J18" i="5" s="1"/>
  <c r="B45" i="5"/>
  <c r="H57" i="11"/>
  <c r="I57" i="11" s="1"/>
  <c r="B58" i="11" s="1"/>
  <c r="G73" i="11"/>
  <c r="F74" i="11"/>
  <c r="B57" i="4" l="1"/>
  <c r="C56" i="4"/>
  <c r="C58" i="11"/>
  <c r="D58" i="11"/>
  <c r="D45" i="5"/>
  <c r="L55" i="11"/>
  <c r="I24" i="11" s="1"/>
  <c r="G74" i="11"/>
  <c r="F75" i="11"/>
  <c r="B58" i="4" l="1"/>
  <c r="C57" i="4"/>
  <c r="F76" i="11"/>
  <c r="G75" i="11"/>
  <c r="E45" i="5"/>
  <c r="E58" i="11"/>
  <c r="C58" i="4" l="1"/>
  <c r="B59" i="4"/>
  <c r="H58" i="11"/>
  <c r="I58" i="11" s="1"/>
  <c r="B59" i="11" s="1"/>
  <c r="F77" i="11"/>
  <c r="G76" i="11"/>
  <c r="B46" i="5"/>
  <c r="C59" i="4" l="1"/>
  <c r="B60" i="4"/>
  <c r="D46" i="5"/>
  <c r="F78" i="11"/>
  <c r="G77" i="11"/>
  <c r="C59" i="11"/>
  <c r="D59" i="11"/>
  <c r="E59" i="11" l="1"/>
  <c r="B61" i="4"/>
  <c r="C60" i="4"/>
  <c r="H59" i="11"/>
  <c r="I59" i="11" s="1"/>
  <c r="B60" i="11" s="1"/>
  <c r="G78" i="11"/>
  <c r="F79" i="11"/>
  <c r="E46" i="5"/>
  <c r="C61" i="4" l="1"/>
  <c r="B62" i="4"/>
  <c r="D60" i="11"/>
  <c r="C60" i="11"/>
  <c r="B47" i="5"/>
  <c r="F80" i="11"/>
  <c r="G79" i="11"/>
  <c r="C62" i="4" l="1"/>
  <c r="B63" i="4"/>
  <c r="F81" i="11"/>
  <c r="G80" i="11"/>
  <c r="D47" i="5"/>
  <c r="E60" i="11"/>
  <c r="B64" i="4" l="1"/>
  <c r="C63" i="4"/>
  <c r="H60" i="11"/>
  <c r="I60" i="11" s="1"/>
  <c r="B61" i="11" s="1"/>
  <c r="F82" i="11"/>
  <c r="G81" i="11"/>
  <c r="E47" i="5"/>
  <c r="G45" i="5"/>
  <c r="J9" i="5" s="1"/>
  <c r="B65" i="4" l="1"/>
  <c r="C64" i="4"/>
  <c r="F53" i="4" s="1"/>
  <c r="J13" i="4" s="1"/>
  <c r="F83" i="11"/>
  <c r="G82" i="11"/>
  <c r="D61" i="11"/>
  <c r="C61" i="11"/>
  <c r="H45" i="5"/>
  <c r="J19" i="5" s="1"/>
  <c r="B48" i="5"/>
  <c r="B66" i="4" l="1"/>
  <c r="C65" i="4"/>
  <c r="F84" i="11"/>
  <c r="G83" i="11"/>
  <c r="E61" i="11"/>
  <c r="D48" i="5"/>
  <c r="C66" i="4" l="1"/>
  <c r="B67" i="4"/>
  <c r="F85" i="11"/>
  <c r="G84" i="11"/>
  <c r="E48" i="5"/>
  <c r="H61" i="11"/>
  <c r="I61" i="11" s="1"/>
  <c r="B62" i="11" s="1"/>
  <c r="B68" i="4" l="1"/>
  <c r="C67" i="4"/>
  <c r="C62" i="11"/>
  <c r="D62" i="11"/>
  <c r="F86" i="11"/>
  <c r="G85" i="11"/>
  <c r="B49" i="5"/>
  <c r="E62" i="11" l="1"/>
  <c r="H62" i="11" s="1"/>
  <c r="I62" i="11" s="1"/>
  <c r="B63" i="11" s="1"/>
  <c r="B69" i="4"/>
  <c r="C68" i="4"/>
  <c r="C63" i="11"/>
  <c r="D63" i="11"/>
  <c r="K58" i="11" s="1"/>
  <c r="I10" i="11" s="1"/>
  <c r="G86" i="11"/>
  <c r="F87" i="11"/>
  <c r="D49" i="5"/>
  <c r="B70" i="4" l="1"/>
  <c r="C69" i="4"/>
  <c r="F88" i="11"/>
  <c r="G87" i="11"/>
  <c r="E49" i="5"/>
  <c r="E63" i="11"/>
  <c r="C70" i="4" l="1"/>
  <c r="B71" i="4"/>
  <c r="B50" i="5"/>
  <c r="H63" i="11"/>
  <c r="I63" i="11" s="1"/>
  <c r="B64" i="11" s="1"/>
  <c r="F89" i="11"/>
  <c r="G88" i="11"/>
  <c r="C71" i="4" l="1"/>
  <c r="B72" i="4"/>
  <c r="D50" i="5"/>
  <c r="C64" i="11"/>
  <c r="D64" i="11"/>
  <c r="G89" i="11"/>
  <c r="F90" i="11"/>
  <c r="L58" i="11"/>
  <c r="I25" i="11" s="1"/>
  <c r="C72" i="4" l="1"/>
  <c r="B73" i="4"/>
  <c r="G90" i="11"/>
  <c r="F91" i="11"/>
  <c r="E50" i="5"/>
  <c r="E64" i="11"/>
  <c r="B74" i="4" l="1"/>
  <c r="C73" i="4"/>
  <c r="H64" i="11"/>
  <c r="I64" i="11" s="1"/>
  <c r="B65" i="11" s="1"/>
  <c r="B51" i="5"/>
  <c r="G91" i="11"/>
  <c r="F92" i="11"/>
  <c r="B75" i="4" l="1"/>
  <c r="C74" i="4"/>
  <c r="G92" i="11"/>
  <c r="F93" i="11"/>
  <c r="D51" i="5"/>
  <c r="C65" i="11"/>
  <c r="D65" i="11"/>
  <c r="B76" i="4" l="1"/>
  <c r="C76" i="4" s="1"/>
  <c r="C75" i="4"/>
  <c r="G93" i="11"/>
  <c r="F94" i="11"/>
  <c r="E65" i="11"/>
  <c r="E51" i="5"/>
  <c r="F65" i="4" l="1"/>
  <c r="J14" i="4" s="1"/>
  <c r="H65" i="11"/>
  <c r="I65" i="11" s="1"/>
  <c r="B66" i="11" s="1"/>
  <c r="G94" i="11"/>
  <c r="F95" i="11"/>
  <c r="B52" i="5"/>
  <c r="D52" i="5" l="1"/>
  <c r="D66" i="11"/>
  <c r="C66" i="11"/>
  <c r="G95" i="11"/>
  <c r="F96" i="11"/>
  <c r="F97" i="11" l="1"/>
  <c r="G96" i="11"/>
  <c r="E52" i="5"/>
  <c r="E66" i="11"/>
  <c r="H66" i="11" l="1"/>
  <c r="I66" i="11" s="1"/>
  <c r="B67" i="11" s="1"/>
  <c r="B53" i="5"/>
  <c r="F98" i="11"/>
  <c r="G97" i="11"/>
  <c r="D53" i="5" l="1"/>
  <c r="F99" i="11"/>
  <c r="G98" i="11"/>
  <c r="C67" i="11"/>
  <c r="D67" i="11"/>
  <c r="G99" i="11" l="1"/>
  <c r="F100" i="11"/>
  <c r="E53" i="5"/>
  <c r="G48" i="5"/>
  <c r="J10" i="5" s="1"/>
  <c r="E67" i="11"/>
  <c r="H67" i="11" l="1"/>
  <c r="I67" i="11" s="1"/>
  <c r="B68" i="11" s="1"/>
  <c r="H48" i="5"/>
  <c r="J20" i="5" s="1"/>
  <c r="B54" i="5"/>
  <c r="F101" i="11"/>
  <c r="G100" i="11"/>
  <c r="D54" i="5" l="1"/>
  <c r="C68" i="11"/>
  <c r="D68" i="11"/>
  <c r="G101" i="11"/>
  <c r="F102" i="11"/>
  <c r="F103" i="11" l="1"/>
  <c r="G102" i="11"/>
  <c r="E68" i="11"/>
  <c r="E54" i="5"/>
  <c r="B55" i="5" l="1"/>
  <c r="G103" i="11"/>
  <c r="F104" i="11"/>
  <c r="H68" i="11"/>
  <c r="I68" i="11" s="1"/>
  <c r="B69" i="11" s="1"/>
  <c r="C69" i="11" l="1"/>
  <c r="D69" i="11"/>
  <c r="K64" i="11" s="1"/>
  <c r="I11" i="11" s="1"/>
  <c r="F105" i="11"/>
  <c r="G104" i="11"/>
  <c r="D55" i="5"/>
  <c r="E55" i="5" l="1"/>
  <c r="G105" i="11"/>
  <c r="F106" i="11"/>
  <c r="E69" i="11"/>
  <c r="H69" i="11" l="1"/>
  <c r="I69" i="11" s="1"/>
  <c r="B70" i="11" s="1"/>
  <c r="B56" i="5"/>
  <c r="G106" i="11"/>
  <c r="F107" i="11"/>
  <c r="F108" i="11" l="1"/>
  <c r="G107" i="11"/>
  <c r="D56" i="5"/>
  <c r="D70" i="11"/>
  <c r="C70" i="11"/>
  <c r="L64" i="11"/>
  <c r="I26" i="11" s="1"/>
  <c r="F109" i="11" l="1"/>
  <c r="G108" i="11"/>
  <c r="E70" i="11"/>
  <c r="E56" i="5"/>
  <c r="F110" i="11" l="1"/>
  <c r="G109" i="11"/>
  <c r="H70" i="11"/>
  <c r="I70" i="11" s="1"/>
  <c r="B71" i="11" s="1"/>
  <c r="B57" i="5"/>
  <c r="D57" i="5" l="1"/>
  <c r="G110" i="11"/>
  <c r="F111" i="11"/>
  <c r="D71" i="11"/>
  <c r="C71" i="11"/>
  <c r="E71" i="11" l="1"/>
  <c r="F112" i="11"/>
  <c r="G111" i="11"/>
  <c r="H71" i="11"/>
  <c r="I71" i="11" s="1"/>
  <c r="B72" i="11" s="1"/>
  <c r="E57" i="5"/>
  <c r="B58" i="5" l="1"/>
  <c r="G112" i="11"/>
  <c r="F113" i="11"/>
  <c r="D72" i="11"/>
  <c r="C72" i="11"/>
  <c r="E72" i="11" s="1"/>
  <c r="H72" i="11" s="1"/>
  <c r="I72" i="11" s="1"/>
  <c r="B73" i="11" s="1"/>
  <c r="D73" i="11" l="1"/>
  <c r="C73" i="11"/>
  <c r="E73" i="11" s="1"/>
  <c r="H73" i="11" s="1"/>
  <c r="I73" i="11" s="1"/>
  <c r="B74" i="11" s="1"/>
  <c r="F114" i="11"/>
  <c r="G113" i="11"/>
  <c r="D58" i="5"/>
  <c r="D74" i="11" l="1"/>
  <c r="C74" i="11"/>
  <c r="E74" i="11" s="1"/>
  <c r="H74" i="11" s="1"/>
  <c r="I74" i="11" s="1"/>
  <c r="B75" i="11" s="1"/>
  <c r="E58" i="5"/>
  <c r="F115" i="11"/>
  <c r="G114" i="11"/>
  <c r="C75" i="11" l="1"/>
  <c r="D75" i="11"/>
  <c r="F116" i="11"/>
  <c r="G115" i="11"/>
  <c r="B59" i="5"/>
  <c r="G116" i="11" l="1"/>
  <c r="F117" i="11"/>
  <c r="D59" i="5"/>
  <c r="E75" i="11"/>
  <c r="H75" i="11" s="1"/>
  <c r="I75" i="11" s="1"/>
  <c r="B76" i="11" s="1"/>
  <c r="C76" i="11" l="1"/>
  <c r="D76" i="11"/>
  <c r="F118" i="11"/>
  <c r="G117" i="11"/>
  <c r="E59" i="5"/>
  <c r="G54" i="5"/>
  <c r="J11" i="5" s="1"/>
  <c r="G118" i="11" l="1"/>
  <c r="F119" i="11"/>
  <c r="H54" i="5"/>
  <c r="J21" i="5" s="1"/>
  <c r="B60" i="5"/>
  <c r="E76" i="11"/>
  <c r="H76" i="11" s="1"/>
  <c r="I76" i="11" s="1"/>
  <c r="B77" i="11" s="1"/>
  <c r="D77" i="11" l="1"/>
  <c r="C77" i="11"/>
  <c r="E77" i="11" s="1"/>
  <c r="H77" i="11" s="1"/>
  <c r="I77" i="11" s="1"/>
  <c r="B78" i="11" s="1"/>
  <c r="D60" i="5"/>
  <c r="G119" i="11"/>
  <c r="F120" i="11"/>
  <c r="D78" i="11" l="1"/>
  <c r="C78" i="11"/>
  <c r="E78" i="11" s="1"/>
  <c r="H78" i="11" s="1"/>
  <c r="I78" i="11" s="1"/>
  <c r="B79" i="11" s="1"/>
  <c r="E60" i="5"/>
  <c r="G120" i="11"/>
  <c r="F121" i="11"/>
  <c r="D79" i="11" l="1"/>
  <c r="C79" i="11"/>
  <c r="B61" i="5"/>
  <c r="G121" i="11"/>
  <c r="F122" i="11"/>
  <c r="E79" i="11" l="1"/>
  <c r="H79" i="11" s="1"/>
  <c r="I79" i="11" s="1"/>
  <c r="B80" i="11" s="1"/>
  <c r="D80" i="11" s="1"/>
  <c r="C80" i="11"/>
  <c r="D61" i="5"/>
  <c r="G122" i="11"/>
  <c r="F123" i="11"/>
  <c r="E80" i="11" l="1"/>
  <c r="H80" i="11" s="1"/>
  <c r="I80" i="11" s="1"/>
  <c r="B81" i="11" s="1"/>
  <c r="D81" i="11" s="1"/>
  <c r="K70" i="11" s="1"/>
  <c r="I12" i="11" s="1"/>
  <c r="C81" i="11"/>
  <c r="F124" i="11"/>
  <c r="G123" i="11"/>
  <c r="E61" i="5"/>
  <c r="E81" i="11" l="1"/>
  <c r="H81" i="11"/>
  <c r="I81" i="11" s="1"/>
  <c r="B82" i="11" s="1"/>
  <c r="B62" i="5"/>
  <c r="G124" i="11"/>
  <c r="F125" i="11"/>
  <c r="G125" i="11" l="1"/>
  <c r="F126" i="11"/>
  <c r="D82" i="11"/>
  <c r="C82" i="11"/>
  <c r="D62" i="5"/>
  <c r="L70" i="11"/>
  <c r="I27" i="11" s="1"/>
  <c r="E82" i="11" l="1"/>
  <c r="H82" i="11"/>
  <c r="I82" i="11" s="1"/>
  <c r="B83" i="11" s="1"/>
  <c r="F127" i="11"/>
  <c r="G126" i="11"/>
  <c r="E62" i="5"/>
  <c r="C83" i="11" l="1"/>
  <c r="D83" i="11"/>
  <c r="B63" i="5"/>
  <c r="F128" i="11"/>
  <c r="G127" i="11"/>
  <c r="E83" i="11" l="1"/>
  <c r="D63" i="5"/>
  <c r="F129" i="11"/>
  <c r="G128" i="11"/>
  <c r="H83" i="11" l="1"/>
  <c r="I83" i="11" s="1"/>
  <c r="B84" i="11" s="1"/>
  <c r="G129" i="11"/>
  <c r="F130" i="11"/>
  <c r="E63" i="5"/>
  <c r="F131" i="11" l="1"/>
  <c r="G130" i="11"/>
  <c r="C84" i="11"/>
  <c r="E84" i="11" s="1"/>
  <c r="H84" i="11" s="1"/>
  <c r="I84" i="11" s="1"/>
  <c r="B85" i="11" s="1"/>
  <c r="D84" i="11"/>
  <c r="B64" i="5"/>
  <c r="D85" i="11" l="1"/>
  <c r="C85" i="11"/>
  <c r="E85" i="11" s="1"/>
  <c r="H85" i="11" s="1"/>
  <c r="I85" i="11" s="1"/>
  <c r="B86" i="11" s="1"/>
  <c r="F132" i="11"/>
  <c r="G131" i="11"/>
  <c r="D64" i="5"/>
  <c r="D86" i="11" l="1"/>
  <c r="C86" i="11"/>
  <c r="E86" i="11" s="1"/>
  <c r="H86" i="11" s="1"/>
  <c r="I86" i="11" s="1"/>
  <c r="B87" i="11" s="1"/>
  <c r="E64" i="5"/>
  <c r="G132" i="11"/>
  <c r="F133" i="11"/>
  <c r="C87" i="11" l="1"/>
  <c r="D87" i="11"/>
  <c r="G133" i="11"/>
  <c r="F134" i="11"/>
  <c r="B65" i="5"/>
  <c r="F135" i="11" l="1"/>
  <c r="G134" i="11"/>
  <c r="D65" i="5"/>
  <c r="E65" i="5" s="1"/>
  <c r="B66" i="5" s="1"/>
  <c r="E87" i="11"/>
  <c r="H87" i="11" s="1"/>
  <c r="I87" i="11" s="1"/>
  <c r="B88" i="11" s="1"/>
  <c r="D66" i="5" l="1"/>
  <c r="E66" i="5" s="1"/>
  <c r="B67" i="5" s="1"/>
  <c r="D88" i="11"/>
  <c r="C88" i="11"/>
  <c r="G135" i="11"/>
  <c r="F136" i="11"/>
  <c r="E88" i="11" l="1"/>
  <c r="H88" i="11" s="1"/>
  <c r="I88" i="11" s="1"/>
  <c r="B89" i="11" s="1"/>
  <c r="D89" i="11" s="1"/>
  <c r="D67" i="5"/>
  <c r="E67" i="5" s="1"/>
  <c r="B68" i="5" s="1"/>
  <c r="F137" i="11"/>
  <c r="G136" i="11"/>
  <c r="C89" i="11" l="1"/>
  <c r="E89" i="11"/>
  <c r="H89" i="11" s="1"/>
  <c r="I89" i="11" s="1"/>
  <c r="B90" i="11" s="1"/>
  <c r="D90" i="11" s="1"/>
  <c r="D68" i="5"/>
  <c r="E68" i="5" s="1"/>
  <c r="B69" i="5" s="1"/>
  <c r="G137" i="11"/>
  <c r="F138" i="11"/>
  <c r="C90" i="11" l="1"/>
  <c r="E90" i="11" s="1"/>
  <c r="H90" i="11" s="1"/>
  <c r="I90" i="11" s="1"/>
  <c r="B91" i="11" s="1"/>
  <c r="D69" i="5"/>
  <c r="E69" i="5" s="1"/>
  <c r="B70" i="5" s="1"/>
  <c r="G138" i="11"/>
  <c r="F139" i="11"/>
  <c r="D70" i="5" l="1"/>
  <c r="E70" i="5" s="1"/>
  <c r="B71" i="5" s="1"/>
  <c r="G139" i="11"/>
  <c r="F140" i="11"/>
  <c r="D91" i="11"/>
  <c r="C91" i="11"/>
  <c r="D71" i="5" l="1"/>
  <c r="E91" i="11"/>
  <c r="H91" i="11" s="1"/>
  <c r="I91" i="11" s="1"/>
  <c r="B92" i="11" s="1"/>
  <c r="F141" i="11"/>
  <c r="G140" i="11"/>
  <c r="C92" i="11" l="1"/>
  <c r="D92" i="11"/>
  <c r="E71" i="5"/>
  <c r="G60" i="5"/>
  <c r="J12" i="5" s="1"/>
  <c r="F142" i="11"/>
  <c r="G141" i="11"/>
  <c r="F143" i="11" l="1"/>
  <c r="G142" i="11"/>
  <c r="H60" i="5"/>
  <c r="J22" i="5" s="1"/>
  <c r="B72" i="5"/>
  <c r="E92" i="11"/>
  <c r="H92" i="11" s="1"/>
  <c r="I92" i="11" s="1"/>
  <c r="B93" i="11" s="1"/>
  <c r="D93" i="11" l="1"/>
  <c r="K82" i="11" s="1"/>
  <c r="I13" i="11" s="1"/>
  <c r="C93" i="11"/>
  <c r="E93" i="11" s="1"/>
  <c r="H93" i="11" s="1"/>
  <c r="I93" i="11" s="1"/>
  <c r="B94" i="11" s="1"/>
  <c r="D72" i="5"/>
  <c r="F144" i="11"/>
  <c r="G143" i="11"/>
  <c r="D94" i="11" l="1"/>
  <c r="C94" i="11"/>
  <c r="E94" i="11" s="1"/>
  <c r="E72" i="5"/>
  <c r="L82" i="11"/>
  <c r="I28" i="11" s="1"/>
  <c r="F145" i="11"/>
  <c r="G144" i="11"/>
  <c r="F146" i="11" l="1"/>
  <c r="G145" i="11"/>
  <c r="B73" i="5"/>
  <c r="H94" i="11"/>
  <c r="I94" i="11" s="1"/>
  <c r="B95" i="11" s="1"/>
  <c r="D73" i="5" l="1"/>
  <c r="D95" i="11"/>
  <c r="C95" i="11"/>
  <c r="E95" i="11" s="1"/>
  <c r="F147" i="11"/>
  <c r="G146" i="11"/>
  <c r="F148" i="11" l="1"/>
  <c r="G147" i="11"/>
  <c r="H95" i="11"/>
  <c r="I95" i="11" s="1"/>
  <c r="B96" i="11" s="1"/>
  <c r="E73" i="5"/>
  <c r="B74" i="5" l="1"/>
  <c r="C96" i="11"/>
  <c r="D96" i="11"/>
  <c r="G148" i="11"/>
  <c r="F149" i="11"/>
  <c r="E96" i="11" l="1"/>
  <c r="G149" i="11"/>
  <c r="F150" i="11"/>
  <c r="H96" i="11"/>
  <c r="I96" i="11" s="1"/>
  <c r="B97" i="11" s="1"/>
  <c r="D74" i="5"/>
  <c r="D97" i="11" l="1"/>
  <c r="C97" i="11"/>
  <c r="E97" i="11" s="1"/>
  <c r="H97" i="11" s="1"/>
  <c r="I97" i="11" s="1"/>
  <c r="B98" i="11" s="1"/>
  <c r="F151" i="11"/>
  <c r="G150" i="11"/>
  <c r="E74" i="5"/>
  <c r="C98" i="11" l="1"/>
  <c r="D98" i="11"/>
  <c r="G151" i="11"/>
  <c r="F152" i="11"/>
  <c r="B75" i="5"/>
  <c r="D75" i="5" l="1"/>
  <c r="F153" i="11"/>
  <c r="G152" i="11"/>
  <c r="E98" i="11"/>
  <c r="H98" i="11" s="1"/>
  <c r="I98" i="11" s="1"/>
  <c r="B99" i="11" s="1"/>
  <c r="E75" i="5" l="1"/>
  <c r="C99" i="11"/>
  <c r="D99" i="11"/>
  <c r="G153" i="11"/>
  <c r="F154" i="11"/>
  <c r="E99" i="11" l="1"/>
  <c r="H99" i="11" s="1"/>
  <c r="I99" i="11" s="1"/>
  <c r="B100" i="11" s="1"/>
  <c r="C100" i="11"/>
  <c r="E100" i="11" s="1"/>
  <c r="H100" i="11" s="1"/>
  <c r="I100" i="11" s="1"/>
  <c r="B101" i="11" s="1"/>
  <c r="D100" i="11"/>
  <c r="F155" i="11"/>
  <c r="G154" i="11"/>
  <c r="B76" i="5"/>
  <c r="D101" i="11" l="1"/>
  <c r="C101" i="11"/>
  <c r="E101" i="11" s="1"/>
  <c r="H101" i="11" s="1"/>
  <c r="I101" i="11" s="1"/>
  <c r="B102" i="11" s="1"/>
  <c r="D76" i="5"/>
  <c r="F156" i="11"/>
  <c r="G155" i="11"/>
  <c r="D102" i="11" l="1"/>
  <c r="C102" i="11"/>
  <c r="E76" i="5"/>
  <c r="F157" i="11"/>
  <c r="G156" i="11"/>
  <c r="G157" i="11" l="1"/>
  <c r="F158" i="11"/>
  <c r="E102" i="11"/>
  <c r="H102" i="11" s="1"/>
  <c r="I102" i="11" s="1"/>
  <c r="B103" i="11" s="1"/>
  <c r="B77" i="5"/>
  <c r="C103" i="11" l="1"/>
  <c r="D103" i="11"/>
  <c r="G158" i="11"/>
  <c r="F159" i="11"/>
  <c r="D77" i="5"/>
  <c r="E77" i="5" s="1"/>
  <c r="B78" i="5" s="1"/>
  <c r="D78" i="5" l="1"/>
  <c r="E78" i="5" s="1"/>
  <c r="B79" i="5" s="1"/>
  <c r="F160" i="11"/>
  <c r="G159" i="11"/>
  <c r="E103" i="11"/>
  <c r="H103" i="11" s="1"/>
  <c r="I103" i="11" s="1"/>
  <c r="B104" i="11" s="1"/>
  <c r="D79" i="5" l="1"/>
  <c r="E79" i="5" s="1"/>
  <c r="B80" i="5" s="1"/>
  <c r="G160" i="11"/>
  <c r="F161" i="11"/>
  <c r="D104" i="11"/>
  <c r="C104" i="11"/>
  <c r="E104" i="11" l="1"/>
  <c r="H104" i="11" s="1"/>
  <c r="I104" i="11" s="1"/>
  <c r="B105" i="11" s="1"/>
  <c r="D80" i="5"/>
  <c r="E80" i="5" s="1"/>
  <c r="B81" i="5" s="1"/>
  <c r="G161" i="11"/>
  <c r="F162" i="11"/>
  <c r="D81" i="5" l="1"/>
  <c r="E81" i="5" s="1"/>
  <c r="B82" i="5" s="1"/>
  <c r="F163" i="11"/>
  <c r="G162" i="11"/>
  <c r="C105" i="11"/>
  <c r="D105" i="11"/>
  <c r="K94" i="11" s="1"/>
  <c r="I14" i="11" s="1"/>
  <c r="D82" i="5" l="1"/>
  <c r="E82" i="5" s="1"/>
  <c r="B83" i="5" s="1"/>
  <c r="G163" i="11"/>
  <c r="F164" i="11"/>
  <c r="E105" i="11"/>
  <c r="D83" i="5" l="1"/>
  <c r="H105" i="11"/>
  <c r="I105" i="11" s="1"/>
  <c r="B106" i="11" s="1"/>
  <c r="F165" i="11"/>
  <c r="G165" i="11" s="1"/>
  <c r="G164" i="11"/>
  <c r="L94" i="11" l="1"/>
  <c r="I29" i="11" s="1"/>
  <c r="E83" i="5"/>
  <c r="G72" i="5"/>
  <c r="J13" i="5" s="1"/>
  <c r="D106" i="11"/>
  <c r="C106" i="11"/>
  <c r="E106" i="11" s="1"/>
  <c r="H72" i="5" l="1"/>
  <c r="J23" i="5" s="1"/>
  <c r="B84" i="5"/>
  <c r="H106" i="11"/>
  <c r="I106" i="11" s="1"/>
  <c r="B107" i="11" s="1"/>
  <c r="D84" i="5" l="1"/>
  <c r="C107" i="11"/>
  <c r="D107" i="11"/>
  <c r="E107" i="11" l="1"/>
  <c r="E84" i="5"/>
  <c r="B85" i="5" l="1"/>
  <c r="H107" i="11"/>
  <c r="I107" i="11" s="1"/>
  <c r="B108" i="11" s="1"/>
  <c r="D108" i="11" l="1"/>
  <c r="C108" i="11"/>
  <c r="D85" i="5"/>
  <c r="E85" i="5" l="1"/>
  <c r="E108" i="11"/>
  <c r="H108" i="11" l="1"/>
  <c r="I108" i="11" s="1"/>
  <c r="B109" i="11" s="1"/>
  <c r="B86" i="5"/>
  <c r="D86" i="5" l="1"/>
  <c r="D109" i="11"/>
  <c r="C109" i="11"/>
  <c r="E109" i="11" s="1"/>
  <c r="H109" i="11" l="1"/>
  <c r="I109" i="11" s="1"/>
  <c r="B110" i="11" s="1"/>
  <c r="E86" i="5"/>
  <c r="D110" i="11" l="1"/>
  <c r="C110" i="11"/>
  <c r="B87" i="5"/>
  <c r="D87" i="5" l="1"/>
  <c r="E110" i="11"/>
  <c r="H110" i="11" s="1"/>
  <c r="I110" i="11" s="1"/>
  <c r="B111" i="11" s="1"/>
  <c r="C111" i="11" l="1"/>
  <c r="D111" i="11"/>
  <c r="E87" i="5"/>
  <c r="B88" i="5" l="1"/>
  <c r="E111" i="11"/>
  <c r="H111" i="11" s="1"/>
  <c r="I111" i="11" s="1"/>
  <c r="B112" i="11" s="1"/>
  <c r="D88" i="5" l="1"/>
  <c r="C112" i="11"/>
  <c r="D112" i="11"/>
  <c r="E112" i="11" l="1"/>
  <c r="H112" i="11" s="1"/>
  <c r="I112" i="11" s="1"/>
  <c r="B113" i="11" s="1"/>
  <c r="E88" i="5"/>
  <c r="B89" i="5" l="1"/>
  <c r="C113" i="11"/>
  <c r="D113" i="11"/>
  <c r="E113" i="11" l="1"/>
  <c r="H113" i="11" s="1"/>
  <c r="I113" i="11" s="1"/>
  <c r="B114" i="11" s="1"/>
  <c r="D114" i="11" s="1"/>
  <c r="D89" i="5"/>
  <c r="E89" i="5" s="1"/>
  <c r="B90" i="5" s="1"/>
  <c r="C114" i="11" l="1"/>
  <c r="E114" i="11" s="1"/>
  <c r="H114" i="11" s="1"/>
  <c r="I114" i="11" s="1"/>
  <c r="B115" i="11" s="1"/>
  <c r="C115" i="11" s="1"/>
  <c r="D90" i="5"/>
  <c r="E90" i="5" s="1"/>
  <c r="B91" i="5" s="1"/>
  <c r="D115" i="11" l="1"/>
  <c r="E115" i="11" s="1"/>
  <c r="H115" i="11" s="1"/>
  <c r="I115" i="11" s="1"/>
  <c r="B116" i="11" s="1"/>
  <c r="D91" i="5"/>
  <c r="E91" i="5" s="1"/>
  <c r="B92" i="5" s="1"/>
  <c r="D116" i="11" l="1"/>
  <c r="C116" i="11"/>
  <c r="D92" i="5"/>
  <c r="E92" i="5" s="1"/>
  <c r="B93" i="5" s="1"/>
  <c r="E116" i="11" l="1"/>
  <c r="H116" i="11" s="1"/>
  <c r="I116" i="11" s="1"/>
  <c r="B117" i="11" s="1"/>
  <c r="D93" i="5"/>
  <c r="E93" i="5" s="1"/>
  <c r="B94" i="5" s="1"/>
  <c r="D117" i="11" l="1"/>
  <c r="K106" i="11" s="1"/>
  <c r="I15" i="11" s="1"/>
  <c r="C117" i="11"/>
  <c r="E117" i="11" s="1"/>
  <c r="H117" i="11" s="1"/>
  <c r="I117" i="11" s="1"/>
  <c r="B118" i="11" s="1"/>
  <c r="D94" i="5"/>
  <c r="E94" i="5" s="1"/>
  <c r="B95" i="5" s="1"/>
  <c r="D95" i="5" l="1"/>
  <c r="C118" i="11"/>
  <c r="D118" i="11"/>
  <c r="L106" i="11"/>
  <c r="I30" i="11" s="1"/>
  <c r="E118" i="11" l="1"/>
  <c r="H118" i="11" s="1"/>
  <c r="I118" i="11" s="1"/>
  <c r="B119" i="11" s="1"/>
  <c r="E95" i="5"/>
  <c r="G84" i="5"/>
  <c r="J14" i="5" s="1"/>
  <c r="D119" i="11" l="1"/>
  <c r="C119" i="11"/>
  <c r="E119" i="11" s="1"/>
  <c r="H84" i="5"/>
  <c r="B96" i="5"/>
  <c r="D96" i="5" l="1"/>
  <c r="E96" i="5" s="1"/>
  <c r="B97" i="5" s="1"/>
  <c r="J24" i="5"/>
  <c r="H119" i="11"/>
  <c r="I119" i="11" s="1"/>
  <c r="B120" i="11" s="1"/>
  <c r="D97" i="5" l="1"/>
  <c r="E97" i="5" s="1"/>
  <c r="B98" i="5" s="1"/>
  <c r="D120" i="11"/>
  <c r="C120" i="11"/>
  <c r="E120" i="11" s="1"/>
  <c r="D98" i="5" l="1"/>
  <c r="E98" i="5" s="1"/>
  <c r="B99" i="5" s="1"/>
  <c r="H120" i="11"/>
  <c r="I120" i="11" s="1"/>
  <c r="B121" i="11" s="1"/>
  <c r="D99" i="5" l="1"/>
  <c r="E99" i="5" s="1"/>
  <c r="B100" i="5" s="1"/>
  <c r="D121" i="11"/>
  <c r="C121" i="11"/>
  <c r="E121" i="11" s="1"/>
  <c r="H121" i="11" s="1"/>
  <c r="I121" i="11" s="1"/>
  <c r="B122" i="11" s="1"/>
  <c r="D122" i="11" l="1"/>
  <c r="C122" i="11"/>
  <c r="D100" i="5"/>
  <c r="E100" i="5" s="1"/>
  <c r="B101" i="5" s="1"/>
  <c r="E122" i="11" l="1"/>
  <c r="H122" i="11" s="1"/>
  <c r="I122" i="11" s="1"/>
  <c r="B123" i="11" s="1"/>
  <c r="C123" i="11" s="1"/>
  <c r="D101" i="5"/>
  <c r="E101" i="5" s="1"/>
  <c r="B102" i="5" s="1"/>
  <c r="D123" i="11" l="1"/>
  <c r="E123" i="11" s="1"/>
  <c r="H123" i="11" s="1"/>
  <c r="I123" i="11" s="1"/>
  <c r="B124" i="11" s="1"/>
  <c r="D102" i="5"/>
  <c r="E102" i="5" s="1"/>
  <c r="B103" i="5" s="1"/>
  <c r="D103" i="5" l="1"/>
  <c r="E103" i="5" s="1"/>
  <c r="B104" i="5" s="1"/>
  <c r="C124" i="11"/>
  <c r="D124" i="11"/>
  <c r="D104" i="5" l="1"/>
  <c r="E104" i="5" s="1"/>
  <c r="B105" i="5" s="1"/>
  <c r="E124" i="11"/>
  <c r="H124" i="11" s="1"/>
  <c r="I124" i="11" s="1"/>
  <c r="B125" i="11" s="1"/>
  <c r="C125" i="11" l="1"/>
  <c r="D125" i="11"/>
  <c r="D105" i="5"/>
  <c r="E105" i="5" s="1"/>
  <c r="B106" i="5" s="1"/>
  <c r="E125" i="11" l="1"/>
  <c r="H125" i="11" s="1"/>
  <c r="I125" i="11" s="1"/>
  <c r="B126" i="11" s="1"/>
  <c r="D126" i="11" s="1"/>
  <c r="D106" i="5"/>
  <c r="E106" i="5" s="1"/>
  <c r="B107" i="5" s="1"/>
  <c r="C126" i="11"/>
  <c r="E126" i="11" l="1"/>
  <c r="H126" i="11" s="1"/>
  <c r="I126" i="11" s="1"/>
  <c r="B127" i="11" s="1"/>
  <c r="D107" i="5"/>
  <c r="E107" i="5" s="1"/>
  <c r="B108" i="5" s="1"/>
  <c r="D108" i="5" l="1"/>
  <c r="E108" i="5" s="1"/>
  <c r="B109" i="5" s="1"/>
  <c r="C127" i="11"/>
  <c r="D127" i="11"/>
  <c r="E127" i="11" l="1"/>
  <c r="H127" i="11" s="1"/>
  <c r="I127" i="11" s="1"/>
  <c r="B128" i="11" s="1"/>
  <c r="D128" i="11" s="1"/>
  <c r="D109" i="5"/>
  <c r="E109" i="5" s="1"/>
  <c r="B110" i="5" s="1"/>
  <c r="C128" i="11" l="1"/>
  <c r="E128" i="11" s="1"/>
  <c r="H128" i="11" s="1"/>
  <c r="I128" i="11" s="1"/>
  <c r="B129" i="11" s="1"/>
  <c r="C129" i="11" s="1"/>
  <c r="D110" i="5"/>
  <c r="E110" i="5" s="1"/>
  <c r="B111" i="5" s="1"/>
  <c r="D129" i="11" l="1"/>
  <c r="K118" i="11" s="1"/>
  <c r="I16" i="11" s="1"/>
  <c r="D111" i="5"/>
  <c r="E111" i="5" s="1"/>
  <c r="B112" i="5" s="1"/>
  <c r="E129" i="11" l="1"/>
  <c r="D112" i="5"/>
  <c r="E112" i="5" s="1"/>
  <c r="B113" i="5" s="1"/>
  <c r="H129" i="11"/>
  <c r="I129" i="11" s="1"/>
  <c r="B130" i="11" s="1"/>
  <c r="D113" i="5" l="1"/>
  <c r="E113" i="5" s="1"/>
  <c r="B114" i="5" s="1"/>
  <c r="C130" i="11"/>
  <c r="D130" i="11"/>
  <c r="L118" i="11"/>
  <c r="I31" i="11" s="1"/>
  <c r="E130" i="11" l="1"/>
  <c r="D114" i="5"/>
  <c r="E114" i="5" s="1"/>
  <c r="B115" i="5" s="1"/>
  <c r="H130" i="11"/>
  <c r="I130" i="11" s="1"/>
  <c r="B131" i="11" s="1"/>
  <c r="D115" i="5" l="1"/>
  <c r="E115" i="5" s="1"/>
  <c r="B116" i="5" s="1"/>
  <c r="D131" i="11"/>
  <c r="C131" i="11"/>
  <c r="E131" i="11" s="1"/>
  <c r="H131" i="11" l="1"/>
  <c r="I131" i="11" s="1"/>
  <c r="B132" i="11" s="1"/>
  <c r="D116" i="5"/>
  <c r="E116" i="5" s="1"/>
  <c r="B117" i="5" s="1"/>
  <c r="D117" i="5" l="1"/>
  <c r="E117" i="5" s="1"/>
  <c r="B118" i="5" s="1"/>
  <c r="D132" i="11"/>
  <c r="C132" i="11"/>
  <c r="E132" i="11" l="1"/>
  <c r="D118" i="5"/>
  <c r="E118" i="5" s="1"/>
  <c r="B119" i="5" s="1"/>
  <c r="H132" i="11"/>
  <c r="I132" i="11" s="1"/>
  <c r="B133" i="11" s="1"/>
  <c r="D119" i="5" l="1"/>
  <c r="E119" i="5" s="1"/>
  <c r="B120" i="5" s="1"/>
  <c r="C133" i="11"/>
  <c r="D133" i="11"/>
  <c r="E133" i="11" l="1"/>
  <c r="H133" i="11" s="1"/>
  <c r="I133" i="11" s="1"/>
  <c r="B134" i="11" s="1"/>
  <c r="D134" i="11" s="1"/>
  <c r="D120" i="5"/>
  <c r="E120" i="5" s="1"/>
  <c r="B121" i="5" s="1"/>
  <c r="C134" i="11" l="1"/>
  <c r="E134" i="11" s="1"/>
  <c r="H134" i="11" s="1"/>
  <c r="I134" i="11" s="1"/>
  <c r="B135" i="11" s="1"/>
  <c r="D135" i="11" s="1"/>
  <c r="D121" i="5"/>
  <c r="E121" i="5" s="1"/>
  <c r="B122" i="5"/>
  <c r="C135" i="11" l="1"/>
  <c r="E135" i="11" s="1"/>
  <c r="H135" i="11" s="1"/>
  <c r="I135" i="11" s="1"/>
  <c r="B136" i="11" s="1"/>
  <c r="D136" i="11" s="1"/>
  <c r="D122" i="5"/>
  <c r="E122" i="5" s="1"/>
  <c r="B123" i="5" s="1"/>
  <c r="C136" i="11" l="1"/>
  <c r="E136" i="11" s="1"/>
  <c r="H136" i="11" s="1"/>
  <c r="I136" i="11" s="1"/>
  <c r="B137" i="11" s="1"/>
  <c r="C137" i="11" s="1"/>
  <c r="D123" i="5"/>
  <c r="E123" i="5" s="1"/>
  <c r="B124" i="5" s="1"/>
  <c r="D137" i="11" l="1"/>
  <c r="D124" i="5"/>
  <c r="E124" i="5" s="1"/>
  <c r="B125" i="5" s="1"/>
  <c r="E137" i="11"/>
  <c r="H137" i="11" s="1"/>
  <c r="I137" i="11" s="1"/>
  <c r="B138" i="11" s="1"/>
  <c r="C138" i="11" l="1"/>
  <c r="D138" i="11"/>
  <c r="D125" i="5"/>
  <c r="E125" i="5" s="1"/>
  <c r="B126" i="5" s="1"/>
  <c r="D126" i="5" l="1"/>
  <c r="E126" i="5" s="1"/>
  <c r="B127" i="5" s="1"/>
  <c r="E138" i="11"/>
  <c r="H138" i="11" s="1"/>
  <c r="I138" i="11" s="1"/>
  <c r="B139" i="11" s="1"/>
  <c r="D127" i="5" l="1"/>
  <c r="E127" i="5" s="1"/>
  <c r="B128" i="5" s="1"/>
  <c r="C139" i="11"/>
  <c r="D139" i="11"/>
  <c r="D128" i="5" l="1"/>
  <c r="E128" i="5" s="1"/>
  <c r="B129" i="5" s="1"/>
  <c r="E139" i="11"/>
  <c r="H139" i="11" s="1"/>
  <c r="I139" i="11" s="1"/>
  <c r="B140" i="11" s="1"/>
  <c r="D140" i="11" l="1"/>
  <c r="C140" i="11"/>
  <c r="E140" i="11" s="1"/>
  <c r="H140" i="11" s="1"/>
  <c r="I140" i="11" s="1"/>
  <c r="B141" i="11" s="1"/>
  <c r="D129" i="5"/>
  <c r="E129" i="5" s="1"/>
  <c r="B130" i="5" s="1"/>
  <c r="D141" i="11" l="1"/>
  <c r="K130" i="11" s="1"/>
  <c r="I17" i="11" s="1"/>
  <c r="C141" i="11"/>
  <c r="E141" i="11" s="1"/>
  <c r="D130" i="5"/>
  <c r="E130" i="5" s="1"/>
  <c r="B131" i="5" s="1"/>
  <c r="D131" i="5" l="1"/>
  <c r="E131" i="5" s="1"/>
  <c r="B132" i="5" s="1"/>
  <c r="H141" i="11"/>
  <c r="I141" i="11" s="1"/>
  <c r="B142" i="11" s="1"/>
  <c r="L130" i="11" l="1"/>
  <c r="I32" i="11" s="1"/>
  <c r="D142" i="11"/>
  <c r="C142" i="11"/>
  <c r="E142" i="11" s="1"/>
  <c r="D132" i="5"/>
  <c r="E132" i="5" s="1"/>
  <c r="B133" i="5" s="1"/>
  <c r="H142" i="11" l="1"/>
  <c r="I142" i="11" s="1"/>
  <c r="B143" i="11" s="1"/>
  <c r="D133" i="5"/>
  <c r="E133" i="5" s="1"/>
  <c r="B134" i="5" s="1"/>
  <c r="D143" i="11" l="1"/>
  <c r="C143" i="11"/>
  <c r="E143" i="11" s="1"/>
  <c r="H143" i="11" s="1"/>
  <c r="I143" i="11" s="1"/>
  <c r="B144" i="11" s="1"/>
  <c r="D134" i="5"/>
  <c r="E134" i="5" s="1"/>
  <c r="B135" i="5" s="1"/>
  <c r="C144" i="11" l="1"/>
  <c r="D144" i="11"/>
  <c r="D135" i="5"/>
  <c r="E135" i="5" s="1"/>
  <c r="B136" i="5" s="1"/>
  <c r="D136" i="5" l="1"/>
  <c r="E136" i="5" s="1"/>
  <c r="B137" i="5" s="1"/>
  <c r="E144" i="11"/>
  <c r="H144" i="11" l="1"/>
  <c r="I144" i="11" s="1"/>
  <c r="B145" i="11" s="1"/>
  <c r="D137" i="5"/>
  <c r="E137" i="5" s="1"/>
  <c r="B138" i="5" s="1"/>
  <c r="D145" i="11" l="1"/>
  <c r="C145" i="11"/>
  <c r="D138" i="5"/>
  <c r="E138" i="5" s="1"/>
  <c r="B139" i="5" s="1"/>
  <c r="D139" i="5" l="1"/>
  <c r="E139" i="5" s="1"/>
  <c r="B140" i="5" s="1"/>
  <c r="E145" i="11"/>
  <c r="H145" i="11" s="1"/>
  <c r="I145" i="11" s="1"/>
  <c r="B146" i="11" s="1"/>
  <c r="D140" i="5" l="1"/>
  <c r="E140" i="5" s="1"/>
  <c r="B141" i="5"/>
  <c r="C146" i="11"/>
  <c r="D146" i="11"/>
  <c r="D141" i="5" l="1"/>
  <c r="E141" i="5" s="1"/>
  <c r="B142" i="5" s="1"/>
  <c r="E146" i="11"/>
  <c r="H146" i="11" s="1"/>
  <c r="I146" i="11" s="1"/>
  <c r="B147" i="11" s="1"/>
  <c r="D142" i="5" l="1"/>
  <c r="E142" i="5" s="1"/>
  <c r="B143" i="5" s="1"/>
  <c r="D147" i="11"/>
  <c r="C147" i="11"/>
  <c r="D143" i="5" l="1"/>
  <c r="E143" i="5" s="1"/>
  <c r="B144" i="5" s="1"/>
  <c r="E147" i="11"/>
  <c r="H147" i="11" s="1"/>
  <c r="I147" i="11" s="1"/>
  <c r="B148" i="11" s="1"/>
  <c r="D144" i="5" l="1"/>
  <c r="E144" i="5" s="1"/>
  <c r="B145" i="5" s="1"/>
  <c r="D148" i="11"/>
  <c r="C148" i="11"/>
  <c r="E148" i="11" s="1"/>
  <c r="H148" i="11" s="1"/>
  <c r="I148" i="11" s="1"/>
  <c r="B149" i="11" s="1"/>
  <c r="D149" i="11" l="1"/>
  <c r="C149" i="11"/>
  <c r="E149" i="11" s="1"/>
  <c r="H149" i="11" s="1"/>
  <c r="I149" i="11" s="1"/>
  <c r="B150" i="11" s="1"/>
  <c r="D145" i="5"/>
  <c r="E145" i="5" s="1"/>
  <c r="B146" i="5" s="1"/>
  <c r="D150" i="11" l="1"/>
  <c r="C150" i="11"/>
  <c r="D146" i="5"/>
  <c r="E146" i="5" s="1"/>
  <c r="B147" i="5" s="1"/>
  <c r="D147" i="5" l="1"/>
  <c r="E147" i="5" s="1"/>
  <c r="B148" i="5" s="1"/>
  <c r="E150" i="11"/>
  <c r="H150" i="11" s="1"/>
  <c r="I150" i="11" s="1"/>
  <c r="B151" i="11" s="1"/>
  <c r="D148" i="5" l="1"/>
  <c r="E148" i="5" s="1"/>
  <c r="B149" i="5" s="1"/>
  <c r="C151" i="11"/>
  <c r="E151" i="11" s="1"/>
  <c r="H151" i="11" s="1"/>
  <c r="I151" i="11" s="1"/>
  <c r="B152" i="11" s="1"/>
  <c r="D151" i="11"/>
  <c r="D152" i="11" l="1"/>
  <c r="C152" i="11"/>
  <c r="E152" i="11" s="1"/>
  <c r="H152" i="11" s="1"/>
  <c r="I152" i="11" s="1"/>
  <c r="B153" i="11" s="1"/>
  <c r="D149" i="5"/>
  <c r="E149" i="5" s="1"/>
  <c r="B150" i="5" s="1"/>
  <c r="C153" i="11" l="1"/>
  <c r="D153" i="11"/>
  <c r="K142" i="11" s="1"/>
  <c r="I18" i="11" s="1"/>
  <c r="D150" i="5"/>
  <c r="E150" i="5" s="1"/>
  <c r="B151" i="5" s="1"/>
  <c r="D151" i="5" l="1"/>
  <c r="E151" i="5" s="1"/>
  <c r="B152" i="5" s="1"/>
  <c r="E153" i="11"/>
  <c r="H153" i="11" l="1"/>
  <c r="I153" i="11" s="1"/>
  <c r="B154" i="11" s="1"/>
  <c r="D152" i="5"/>
  <c r="E152" i="5" s="1"/>
  <c r="B153" i="5" s="1"/>
  <c r="L142" i="11" l="1"/>
  <c r="I33" i="11" s="1"/>
  <c r="D153" i="5"/>
  <c r="E153" i="5" s="1"/>
  <c r="B154" i="5" s="1"/>
  <c r="C154" i="11"/>
  <c r="D154" i="11"/>
  <c r="E154" i="11" l="1"/>
  <c r="H154" i="11" s="1"/>
  <c r="I154" i="11" s="1"/>
  <c r="B155" i="11" s="1"/>
  <c r="D154" i="5"/>
  <c r="E154" i="5" s="1"/>
  <c r="B155" i="5" s="1"/>
  <c r="D155" i="5" s="1"/>
  <c r="E155" i="5" s="1"/>
  <c r="D155" i="11" l="1"/>
  <c r="C155" i="11"/>
  <c r="E155" i="11" s="1"/>
  <c r="H155" i="11" l="1"/>
  <c r="I155" i="11" s="1"/>
  <c r="B156" i="11" s="1"/>
  <c r="D156" i="11" l="1"/>
  <c r="C156" i="11"/>
  <c r="E156" i="11" s="1"/>
  <c r="H156" i="11" l="1"/>
  <c r="I156" i="11" s="1"/>
  <c r="B157" i="11" s="1"/>
  <c r="C157" i="11" l="1"/>
  <c r="D157" i="11"/>
  <c r="E157" i="11" l="1"/>
  <c r="H157" i="11" s="1"/>
  <c r="I157" i="11" s="1"/>
  <c r="B158" i="11" s="1"/>
  <c r="D158" i="11" s="1"/>
  <c r="C158" i="11" l="1"/>
  <c r="E158" i="11" s="1"/>
  <c r="H158" i="11" s="1"/>
  <c r="I158" i="11" s="1"/>
  <c r="B159" i="11" s="1"/>
  <c r="D159" i="11" l="1"/>
  <c r="C159" i="11"/>
  <c r="E159" i="11" s="1"/>
  <c r="H159" i="11" s="1"/>
  <c r="I159" i="11" s="1"/>
  <c r="B160" i="11" s="1"/>
  <c r="C160" i="11" l="1"/>
  <c r="E160" i="11" s="1"/>
  <c r="H160" i="11" s="1"/>
  <c r="I160" i="11" s="1"/>
  <c r="B161" i="11" s="1"/>
  <c r="D160" i="11"/>
  <c r="D161" i="11" l="1"/>
  <c r="C161" i="11"/>
  <c r="E161" i="11" s="1"/>
  <c r="H161" i="11" s="1"/>
  <c r="I161" i="11" s="1"/>
  <c r="B162" i="11" s="1"/>
  <c r="C162" i="11" l="1"/>
  <c r="D162" i="11"/>
  <c r="E162" i="11" l="1"/>
  <c r="H162" i="11" s="1"/>
  <c r="I162" i="11" s="1"/>
  <c r="B163" i="11" s="1"/>
  <c r="D163" i="11" s="1"/>
  <c r="C163" i="11"/>
  <c r="E163" i="11" l="1"/>
  <c r="H163" i="11" s="1"/>
  <c r="I163" i="11" s="1"/>
  <c r="B164" i="11" s="1"/>
  <c r="C164" i="11"/>
  <c r="D164" i="11"/>
  <c r="E164" i="11" l="1"/>
  <c r="H164" i="11" s="1"/>
  <c r="I164" i="11" s="1"/>
  <c r="B165" i="11" s="1"/>
  <c r="C165" i="11" l="1"/>
  <c r="D165" i="11"/>
  <c r="K154" i="11" s="1"/>
  <c r="I19" i="11" s="1"/>
  <c r="E165" i="11" l="1"/>
  <c r="H165" i="11" l="1"/>
  <c r="I165" i="11" s="1"/>
  <c r="L154" i="11" l="1"/>
  <c r="I34" i="11" s="1"/>
</calcChain>
</file>

<file path=xl/sharedStrings.xml><?xml version="1.0" encoding="utf-8"?>
<sst xmlns="http://schemas.openxmlformats.org/spreadsheetml/2006/main" count="831" uniqueCount="150">
  <si>
    <t>9R1999999</t>
  </si>
  <si>
    <t>9R1000001</t>
  </si>
  <si>
    <t>h</t>
  </si>
  <si>
    <t>g</t>
  </si>
  <si>
    <t>f</t>
  </si>
  <si>
    <t>e</t>
  </si>
  <si>
    <t>d</t>
  </si>
  <si>
    <t>c</t>
  </si>
  <si>
    <t>b</t>
  </si>
  <si>
    <t>a</t>
  </si>
  <si>
    <t>Szerződés szerinti pénzáramlás (átárazódás) összege</t>
  </si>
  <si>
    <t>Modellezett pénzáramlás (átárazódás) összege</t>
  </si>
  <si>
    <t>Átárazódás időkategóriája</t>
  </si>
  <si>
    <t>Pénzáramlás (átárazódás) típusa</t>
  </si>
  <si>
    <t>Kamatozás típusa</t>
  </si>
  <si>
    <t>Termékkód</t>
  </si>
  <si>
    <t>Devizanem</t>
  </si>
  <si>
    <t>Megnevezés</t>
  </si>
  <si>
    <t>Sorkód</t>
  </si>
  <si>
    <t>Nagyságrend: forint</t>
  </si>
  <si>
    <t>9R1</t>
  </si>
  <si>
    <t>Pénz - küszöb alatt</t>
  </si>
  <si>
    <t>Pénz - nincs adat</t>
  </si>
  <si>
    <t>Pénz</t>
  </si>
  <si>
    <t>Dátum</t>
  </si>
  <si>
    <t>Felsorolt</t>
  </si>
  <si>
    <t>Karakteres</t>
  </si>
  <si>
    <t>Numerikus - küszöb alatti</t>
  </si>
  <si>
    <t>Numerikus - nincs adat</t>
  </si>
  <si>
    <t>Numerikus</t>
  </si>
  <si>
    <t>Tilos</t>
  </si>
  <si>
    <t>Jelmagyarázat</t>
  </si>
  <si>
    <t>EUR</t>
  </si>
  <si>
    <t>HUF</t>
  </si>
  <si>
    <t>Termék</t>
  </si>
  <si>
    <t>Névérték</t>
  </si>
  <si>
    <t>Hátralévő futamidő</t>
  </si>
  <si>
    <t>Teljes futamidő</t>
  </si>
  <si>
    <t>Kamat</t>
  </si>
  <si>
    <t>változó</t>
  </si>
  <si>
    <t>Kamatbázis</t>
  </si>
  <si>
    <t>Kamatfelár</t>
  </si>
  <si>
    <t>BUBOR3M</t>
  </si>
  <si>
    <t>+50bps</t>
  </si>
  <si>
    <t>Amortizáció</t>
  </si>
  <si>
    <t>negyedéves, lineáris</t>
  </si>
  <si>
    <t>7 év</t>
  </si>
  <si>
    <t>4 év</t>
  </si>
  <si>
    <t>Kamatfizetés</t>
  </si>
  <si>
    <t>Tőketörlesztés</t>
  </si>
  <si>
    <t>70M</t>
  </si>
  <si>
    <t>LOAN_PERFORMING</t>
  </si>
  <si>
    <t>FLOAT</t>
  </si>
  <si>
    <t>C</t>
  </si>
  <si>
    <t>I</t>
  </si>
  <si>
    <t>1M_3M</t>
  </si>
  <si>
    <t>3M_6M</t>
  </si>
  <si>
    <t>6M_9M</t>
  </si>
  <si>
    <t>9M_12M</t>
  </si>
  <si>
    <t>12M_18M</t>
  </si>
  <si>
    <t>18M_2Y</t>
  </si>
  <si>
    <t>2Y_3Y</t>
  </si>
  <si>
    <t>3Y_4Y</t>
  </si>
  <si>
    <t>fordulónap épp most volt, BUBOR: 0,15%</t>
  </si>
  <si>
    <t>100M</t>
  </si>
  <si>
    <t>3 év</t>
  </si>
  <si>
    <t>NMD_RETAIL</t>
  </si>
  <si>
    <t>NONMATURING</t>
  </si>
  <si>
    <t>ON_1M</t>
  </si>
  <si>
    <t>Pay</t>
  </si>
  <si>
    <t>Rec</t>
  </si>
  <si>
    <t>6M EURIBOR</t>
  </si>
  <si>
    <t>6M BUBOR +20bp</t>
  </si>
  <si>
    <t>6M BUBOR</t>
  </si>
  <si>
    <t>Pay EUR</t>
  </si>
  <si>
    <t>Rec HUF</t>
  </si>
  <si>
    <t>PAY_IRS</t>
  </si>
  <si>
    <t>FIX</t>
  </si>
  <si>
    <t>REC_IRS</t>
  </si>
  <si>
    <t>Futamidő</t>
  </si>
  <si>
    <t>1. példa: Vállalati hitel</t>
  </si>
  <si>
    <t>Példajegyzék a 9R1 tábla kitöltéséhez</t>
  </si>
  <si>
    <t>CF (bucketenként)</t>
  </si>
  <si>
    <t>Hátralévő CF-ek lejárati sávba sorolása</t>
  </si>
  <si>
    <t>t (év)</t>
  </si>
  <si>
    <t>Spot EURHUF</t>
  </si>
  <si>
    <t>T (év)</t>
  </si>
  <si>
    <t>Névérték HUF</t>
  </si>
  <si>
    <t>Névérték EUR</t>
  </si>
  <si>
    <t>T (hó)</t>
  </si>
  <si>
    <t>10 év</t>
  </si>
  <si>
    <t>Vállalati hitel</t>
  </si>
  <si>
    <t>5Y_6Y</t>
  </si>
  <si>
    <t>Előtörlesztéssel modellezett</t>
  </si>
  <si>
    <t>Nyitó tőke</t>
  </si>
  <si>
    <t>Törlesztő</t>
  </si>
  <si>
    <t>Tőke</t>
  </si>
  <si>
    <t>Előtörlesztés</t>
  </si>
  <si>
    <t>Záró tőke</t>
  </si>
  <si>
    <t>Lejárati sávokba sorolás</t>
  </si>
  <si>
    <t>4Y_5Y</t>
  </si>
  <si>
    <t>Modellezett CF</t>
  </si>
  <si>
    <t>5 év</t>
  </si>
  <si>
    <t>H1K5</t>
  </si>
  <si>
    <t>100% PSA</t>
  </si>
  <si>
    <t>Lakossági jelzáloghitel</t>
  </si>
  <si>
    <t>Kamatperiódus</t>
  </si>
  <si>
    <t>Előtörlesztés modellezése (CPR)</t>
  </si>
  <si>
    <t>Kamatváltozási mutató</t>
  </si>
  <si>
    <t>Hátralévő CF lefutás</t>
  </si>
  <si>
    <t>Fennálló tőke (induló)</t>
  </si>
  <si>
    <t>t (hó)</t>
  </si>
  <si>
    <t>Pénzáramlások</t>
  </si>
  <si>
    <t>Fix 10</t>
  </si>
  <si>
    <t>6Y_7Y</t>
  </si>
  <si>
    <t>7Y_8Y</t>
  </si>
  <si>
    <t>8Y_9Y</t>
  </si>
  <si>
    <t>9Y_10Y</t>
  </si>
  <si>
    <t>4. példa: Modellezett látra szóló betét (lakossági)</t>
  </si>
  <si>
    <t>2. példa: Lakossági jelzáloghitel, 5 éves kamatperiódus</t>
  </si>
  <si>
    <t>3. példa: Lakossági fix jelzáloghitel, előtörlesztési modellezéssel</t>
  </si>
  <si>
    <t>Pay fix</t>
  </si>
  <si>
    <t>Rec float</t>
  </si>
  <si>
    <t>Kamatcsereügylet</t>
  </si>
  <si>
    <t>CCIRS</t>
  </si>
  <si>
    <t>CCIRS CF (tőke nélkül)</t>
  </si>
  <si>
    <t>5. példa: Kamatcsereügylet</t>
  </si>
  <si>
    <t>6. példa: CCIRS</t>
  </si>
  <si>
    <t>0.: 9R1 tábla felépítése</t>
  </si>
  <si>
    <t>CPR (conditional prepayment rate)</t>
  </si>
  <si>
    <t>SMM (single monthly mortality)</t>
  </si>
  <si>
    <t>Átárazódási periódus (eredeti)</t>
  </si>
  <si>
    <t>Átlagos ügyleti kamat (%)</t>
  </si>
  <si>
    <t>i</t>
  </si>
  <si>
    <t>j</t>
  </si>
  <si>
    <t>…</t>
  </si>
  <si>
    <t>001</t>
  </si>
  <si>
    <t>7</t>
  </si>
  <si>
    <t>6</t>
  </si>
  <si>
    <t>Felár mértéke (%)</t>
  </si>
  <si>
    <t>Sor-szám</t>
  </si>
  <si>
    <t>Banki könyvi kamatlábkockázat ─ Kamatkockázati adatok</t>
  </si>
  <si>
    <t>3M</t>
  </si>
  <si>
    <t>5Y</t>
  </si>
  <si>
    <t>10Y</t>
  </si>
  <si>
    <t>ON</t>
  </si>
  <si>
    <t>3Y</t>
  </si>
  <si>
    <t>6M</t>
  </si>
  <si>
    <t>PAY_CCIRS</t>
  </si>
  <si>
    <t>REC_CCIRS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</si>
</sst>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Ft&quot;;[Red]\-#,##0.00\ &quot;Ft&quot;"/>
    <numFmt numFmtId="43" formatCode="_-* #,##0.00_-;\-* #,##0.00_-;_-* &quot;-&quot;??_-;_-@_-"/>
    <numFmt numFmtId="165" formatCode="_-* #,##0_-;\-* #,##0_-;_-* &quot;-&quot;??_-;_-@_-"/>
    <numFmt numFmtId="166" formatCode="0.0%"/>
    <numFmt numFmtId="167" formatCode="_-* #,##0.00\ _F_t_-;\-* #,##0.00\ _F_t_-;_-* &quot;-&quot;??\ _F_t_-;_-@_-"/>
    <numFmt numFmtId="168" formatCode="0.000%"/>
    <numFmt numFmtId="169" formatCode="0.0000%"/>
    <numFmt numFmtId="170" formatCode="0.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u/>
      <sz val="14"/>
      <color theme="10"/>
      <name val="Arial"/>
      <family val="2"/>
      <charset val="238"/>
    </font>
    <font>
      <sz val="10"/>
      <color rgb="FFFF0000"/>
      <name val="Calibri"/>
      <family val="2"/>
      <charset val="238"/>
    </font>
    <font>
      <b/>
      <i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4A460"/>
        <bgColor indexed="64"/>
      </patternFill>
    </fill>
    <fill>
      <patternFill patternType="solid">
        <fgColor rgb="FFFF8C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7FFFD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E9967A"/>
        <bgColor indexed="64"/>
      </patternFill>
    </fill>
    <fill>
      <patternFill patternType="solid">
        <fgColor rgb="FFFA8072"/>
        <bgColor indexed="64"/>
      </patternFill>
    </fill>
    <fill>
      <patternFill patternType="solid">
        <fgColor rgb="FFB222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BFF08"/>
      </patternFill>
    </fill>
    <fill>
      <patternFill patternType="solid">
        <fgColor rgb="FF00B05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>
      <alignment horizontal="left" vertical="center" wrapText="1"/>
    </xf>
    <xf numFmtId="0" fontId="6" fillId="0" borderId="0"/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8" fillId="0" borderId="0" xfId="3">
      <alignment horizontal="left" vertical="center" wrapText="1"/>
    </xf>
    <xf numFmtId="49" fontId="8" fillId="0" borderId="35" xfId="3" applyNumberFormat="1" applyBorder="1">
      <alignment horizontal="left" vertical="center" wrapText="1"/>
    </xf>
    <xf numFmtId="0" fontId="8" fillId="2" borderId="36" xfId="3" applyFill="1" applyBorder="1">
      <alignment horizontal="left" vertical="center" wrapText="1"/>
    </xf>
    <xf numFmtId="49" fontId="8" fillId="0" borderId="37" xfId="3" applyNumberFormat="1" applyBorder="1">
      <alignment horizontal="left" vertical="center" wrapText="1"/>
    </xf>
    <xf numFmtId="0" fontId="8" fillId="3" borderId="38" xfId="3" applyFill="1" applyBorder="1">
      <alignment horizontal="left" vertical="center" wrapText="1"/>
    </xf>
    <xf numFmtId="0" fontId="8" fillId="4" borderId="38" xfId="3" applyFill="1" applyBorder="1">
      <alignment horizontal="left" vertical="center" wrapText="1"/>
    </xf>
    <xf numFmtId="0" fontId="8" fillId="5" borderId="38" xfId="3" applyFill="1" applyBorder="1">
      <alignment horizontal="left" vertical="center" wrapText="1"/>
    </xf>
    <xf numFmtId="0" fontId="8" fillId="6" borderId="38" xfId="3" applyFill="1" applyBorder="1">
      <alignment horizontal="left" vertical="center" wrapText="1"/>
    </xf>
    <xf numFmtId="0" fontId="8" fillId="7" borderId="38" xfId="3" applyFill="1" applyBorder="1">
      <alignment horizontal="left" vertical="center" wrapText="1"/>
    </xf>
    <xf numFmtId="0" fontId="8" fillId="8" borderId="38" xfId="3" applyFill="1" applyBorder="1">
      <alignment horizontal="left" vertical="center" wrapText="1"/>
    </xf>
    <xf numFmtId="0" fontId="8" fillId="9" borderId="38" xfId="3" applyFill="1" applyBorder="1">
      <alignment horizontal="left" vertical="center" wrapText="1"/>
    </xf>
    <xf numFmtId="0" fontId="8" fillId="10" borderId="38" xfId="3" applyFill="1" applyBorder="1">
      <alignment horizontal="left" vertical="center" wrapText="1"/>
    </xf>
    <xf numFmtId="0" fontId="8" fillId="11" borderId="38" xfId="3" applyFill="1" applyBorder="1">
      <alignment horizontal="left" vertical="center" wrapText="1"/>
    </xf>
    <xf numFmtId="0" fontId="8" fillId="4" borderId="40" xfId="3" applyFill="1" applyBorder="1">
      <alignment horizontal="left" vertical="center" wrapText="1"/>
    </xf>
    <xf numFmtId="49" fontId="9" fillId="0" borderId="44" xfId="3" applyNumberFormat="1" applyFont="1" applyBorder="1" applyAlignment="1">
      <alignment horizontal="center" vertical="center" wrapText="1"/>
    </xf>
    <xf numFmtId="43" fontId="0" fillId="0" borderId="0" xfId="1" applyFont="1"/>
    <xf numFmtId="0" fontId="9" fillId="7" borderId="42" xfId="3" applyFont="1" applyFill="1" applyBorder="1" applyAlignment="1">
      <alignment horizontal="center" vertical="center" wrapText="1"/>
    </xf>
    <xf numFmtId="0" fontId="9" fillId="7" borderId="45" xfId="3" applyFont="1" applyFill="1" applyBorder="1" applyAlignment="1">
      <alignment horizontal="center" vertical="center" wrapText="1"/>
    </xf>
    <xf numFmtId="0" fontId="9" fillId="7" borderId="46" xfId="3" applyFont="1" applyFill="1" applyBorder="1" applyAlignment="1">
      <alignment horizontal="center" vertical="center" wrapText="1"/>
    </xf>
    <xf numFmtId="0" fontId="9" fillId="7" borderId="40" xfId="3" applyFont="1" applyFill="1" applyBorder="1" applyAlignment="1">
      <alignment horizontal="center" vertical="center" wrapText="1"/>
    </xf>
    <xf numFmtId="0" fontId="9" fillId="7" borderId="47" xfId="3" applyFont="1" applyFill="1" applyBorder="1" applyAlignment="1">
      <alignment horizontal="center" vertical="center" wrapText="1"/>
    </xf>
    <xf numFmtId="0" fontId="9" fillId="7" borderId="48" xfId="3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0" fontId="0" fillId="0" borderId="0" xfId="0" applyNumberFormat="1"/>
    <xf numFmtId="0" fontId="9" fillId="7" borderId="52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9" fillId="0" borderId="44" xfId="3" applyNumberFormat="1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 wrapText="1"/>
    </xf>
    <xf numFmtId="0" fontId="2" fillId="7" borderId="55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3" fillId="0" borderId="2" xfId="1" applyNumberFormat="1" applyFont="1" applyBorder="1"/>
    <xf numFmtId="0" fontId="3" fillId="0" borderId="1" xfId="0" applyFont="1" applyBorder="1"/>
    <xf numFmtId="165" fontId="3" fillId="0" borderId="1" xfId="1" applyNumberFormat="1" applyFont="1" applyBorder="1"/>
    <xf numFmtId="0" fontId="3" fillId="12" borderId="1" xfId="0" applyFont="1" applyFill="1" applyBorder="1"/>
    <xf numFmtId="165" fontId="3" fillId="12" borderId="1" xfId="1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right"/>
    </xf>
    <xf numFmtId="49" fontId="8" fillId="0" borderId="1" xfId="3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13" borderId="3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43" fontId="0" fillId="0" borderId="6" xfId="1" applyFont="1" applyFill="1" applyBorder="1"/>
    <xf numFmtId="43" fontId="0" fillId="0" borderId="7" xfId="1" applyFont="1" applyFill="1" applyBorder="1"/>
    <xf numFmtId="43" fontId="0" fillId="0" borderId="3" xfId="1" applyFont="1" applyFill="1" applyBorder="1"/>
    <xf numFmtId="43" fontId="0" fillId="0" borderId="4" xfId="1" applyFont="1" applyFill="1" applyBorder="1"/>
    <xf numFmtId="43" fontId="3" fillId="0" borderId="0" xfId="1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0" fontId="9" fillId="7" borderId="39" xfId="3" applyFont="1" applyFill="1" applyBorder="1" applyAlignment="1">
      <alignment horizontal="center" vertical="center" wrapText="1"/>
    </xf>
    <xf numFmtId="10" fontId="0" fillId="0" borderId="0" xfId="5" applyNumberFormat="1" applyFont="1"/>
    <xf numFmtId="43" fontId="0" fillId="0" borderId="0" xfId="0" applyNumberFormat="1"/>
    <xf numFmtId="8" fontId="0" fillId="0" borderId="0" xfId="0" applyNumberFormat="1"/>
    <xf numFmtId="167" fontId="0" fillId="0" borderId="1" xfId="0" applyNumberFormat="1" applyBorder="1"/>
    <xf numFmtId="43" fontId="0" fillId="0" borderId="7" xfId="1" applyFont="1" applyBorder="1"/>
    <xf numFmtId="167" fontId="0" fillId="0" borderId="6" xfId="0" applyNumberFormat="1" applyBorder="1"/>
    <xf numFmtId="170" fontId="0" fillId="0" borderId="0" xfId="0" applyNumberFormat="1"/>
    <xf numFmtId="0" fontId="0" fillId="0" borderId="6" xfId="0" applyBorder="1"/>
    <xf numFmtId="0" fontId="0" fillId="12" borderId="6" xfId="0" applyFill="1" applyBorder="1"/>
    <xf numFmtId="167" fontId="3" fillId="0" borderId="0" xfId="0" applyNumberFormat="1" applyFont="1"/>
    <xf numFmtId="43" fontId="1" fillId="15" borderId="7" xfId="1" applyFont="1" applyFill="1" applyBorder="1"/>
    <xf numFmtId="43" fontId="1" fillId="15" borderId="4" xfId="1" applyFont="1" applyFill="1" applyBorder="1"/>
    <xf numFmtId="9" fontId="3" fillId="0" borderId="0" xfId="0" applyNumberFormat="1" applyFont="1"/>
    <xf numFmtId="166" fontId="0" fillId="0" borderId="1" xfId="0" applyNumberFormat="1" applyBorder="1" applyAlignment="1">
      <alignment horizontal="center"/>
    </xf>
    <xf numFmtId="168" fontId="0" fillId="0" borderId="0" xfId="5" applyNumberFormat="1" applyFont="1" applyAlignment="1">
      <alignment horizontal="left"/>
    </xf>
    <xf numFmtId="0" fontId="4" fillId="13" borderId="1" xfId="0" applyFont="1" applyFill="1" applyBorder="1" applyAlignment="1">
      <alignment horizontal="right" wrapText="1"/>
    </xf>
    <xf numFmtId="10" fontId="0" fillId="0" borderId="1" xfId="1" applyNumberFormat="1" applyFont="1" applyBorder="1" applyAlignment="1">
      <alignment horizontal="center"/>
    </xf>
    <xf numFmtId="169" fontId="0" fillId="0" borderId="1" xfId="5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1" fillId="12" borderId="1" xfId="1" applyFont="1" applyFill="1" applyBorder="1" applyAlignment="1">
      <alignment horizontal="center"/>
    </xf>
    <xf numFmtId="167" fontId="0" fillId="12" borderId="1" xfId="0" applyNumberFormat="1" applyFill="1" applyBorder="1" applyAlignment="1">
      <alignment horizontal="center"/>
    </xf>
    <xf numFmtId="167" fontId="0" fillId="12" borderId="6" xfId="0" applyNumberFormat="1" applyFill="1" applyBorder="1" applyAlignment="1">
      <alignment horizontal="center"/>
    </xf>
    <xf numFmtId="43" fontId="1" fillId="12" borderId="7" xfId="1" applyFont="1" applyFill="1" applyBorder="1" applyAlignment="1">
      <alignment horizontal="center"/>
    </xf>
    <xf numFmtId="170" fontId="0" fillId="16" borderId="9" xfId="0" applyNumberFormat="1" applyFill="1" applyBorder="1" applyAlignment="1">
      <alignment vertical="center"/>
    </xf>
    <xf numFmtId="167" fontId="0" fillId="16" borderId="10" xfId="0" applyNumberFormat="1" applyFill="1" applyBorder="1" applyAlignment="1">
      <alignment vertical="center"/>
    </xf>
    <xf numFmtId="170" fontId="0" fillId="16" borderId="12" xfId="0" applyNumberFormat="1" applyFill="1" applyBorder="1" applyAlignment="1">
      <alignment vertical="center"/>
    </xf>
    <xf numFmtId="170" fontId="0" fillId="16" borderId="13" xfId="0" applyNumberFormat="1" applyFill="1" applyBorder="1" applyAlignment="1">
      <alignment vertical="center"/>
    </xf>
    <xf numFmtId="170" fontId="0" fillId="16" borderId="14" xfId="0" applyNumberFormat="1" applyFill="1" applyBorder="1" applyAlignment="1">
      <alignment vertical="center"/>
    </xf>
    <xf numFmtId="170" fontId="0" fillId="16" borderId="12" xfId="0" applyNumberFormat="1" applyFill="1" applyBorder="1"/>
    <xf numFmtId="170" fontId="0" fillId="16" borderId="14" xfId="0" applyNumberFormat="1" applyFill="1" applyBorder="1"/>
    <xf numFmtId="170" fontId="0" fillId="16" borderId="13" xfId="0" applyNumberFormat="1" applyFill="1" applyBorder="1"/>
    <xf numFmtId="0" fontId="0" fillId="0" borderId="0" xfId="0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0" fillId="0" borderId="6" xfId="0" applyFill="1" applyBorder="1"/>
    <xf numFmtId="43" fontId="0" fillId="0" borderId="1" xfId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169" fontId="0" fillId="0" borderId="1" xfId="5" applyNumberFormat="1" applyFont="1" applyFill="1" applyBorder="1" applyAlignment="1">
      <alignment horizontal="center"/>
    </xf>
    <xf numFmtId="167" fontId="0" fillId="0" borderId="7" xfId="0" applyNumberFormat="1" applyFill="1" applyBorder="1" applyAlignment="1">
      <alignment horizontal="center"/>
    </xf>
    <xf numFmtId="0" fontId="0" fillId="0" borderId="3" xfId="0" applyFill="1" applyBorder="1"/>
    <xf numFmtId="43" fontId="0" fillId="0" borderId="5" xfId="1" applyFon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169" fontId="0" fillId="0" borderId="5" xfId="5" applyNumberFormat="1" applyFont="1" applyFill="1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165" fontId="3" fillId="0" borderId="15" xfId="0" applyNumberFormat="1" applyFont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/>
    </xf>
    <xf numFmtId="165" fontId="3" fillId="12" borderId="2" xfId="1" applyNumberFormat="1" applyFont="1" applyFill="1" applyBorder="1"/>
    <xf numFmtId="165" fontId="3" fillId="17" borderId="2" xfId="1" applyNumberFormat="1" applyFont="1" applyFill="1" applyBorder="1"/>
    <xf numFmtId="165" fontId="3" fillId="17" borderId="1" xfId="1" applyNumberFormat="1" applyFont="1" applyFill="1" applyBorder="1"/>
    <xf numFmtId="43" fontId="3" fillId="16" borderId="13" xfId="1" applyFont="1" applyFill="1" applyBorder="1" applyAlignment="1">
      <alignment horizontal="center"/>
    </xf>
    <xf numFmtId="43" fontId="3" fillId="16" borderId="12" xfId="1" applyFont="1" applyFill="1" applyBorder="1" applyAlignment="1">
      <alignment horizontal="center"/>
    </xf>
    <xf numFmtId="43" fontId="3" fillId="16" borderId="14" xfId="1" applyFont="1" applyFill="1" applyBorder="1" applyAlignment="1">
      <alignment horizontal="center"/>
    </xf>
    <xf numFmtId="167" fontId="11" fillId="0" borderId="6" xfId="0" applyNumberFormat="1" applyFont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43" fontId="11" fillId="0" borderId="7" xfId="1" applyFont="1" applyBorder="1" applyAlignment="1">
      <alignment horizontal="center"/>
    </xf>
    <xf numFmtId="167" fontId="11" fillId="0" borderId="3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43" fontId="11" fillId="0" borderId="5" xfId="1" applyFont="1" applyBorder="1" applyAlignment="1">
      <alignment horizontal="center"/>
    </xf>
    <xf numFmtId="43" fontId="11" fillId="0" borderId="4" xfId="1" applyFont="1" applyBorder="1" applyAlignment="1">
      <alignment horizontal="center"/>
    </xf>
    <xf numFmtId="170" fontId="0" fillId="0" borderId="13" xfId="0" applyNumberFormat="1" applyFill="1" applyBorder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3" fontId="0" fillId="0" borderId="18" xfId="1" applyFont="1" applyFill="1" applyBorder="1"/>
    <xf numFmtId="43" fontId="0" fillId="0" borderId="19" xfId="1" applyFont="1" applyFill="1" applyBorder="1"/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3" borderId="22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vertical="center" wrapText="1"/>
    </xf>
    <xf numFmtId="10" fontId="3" fillId="16" borderId="1" xfId="5" applyNumberFormat="1" applyFont="1" applyFill="1" applyBorder="1" applyAlignment="1">
      <alignment horizontal="center"/>
    </xf>
    <xf numFmtId="0" fontId="8" fillId="10" borderId="40" xfId="3" applyFill="1" applyBorder="1">
      <alignment horizontal="left" vertical="center" wrapText="1"/>
    </xf>
    <xf numFmtId="43" fontId="11" fillId="0" borderId="0" xfId="1" applyFont="1" applyBorder="1" applyAlignment="1">
      <alignment horizontal="center"/>
    </xf>
    <xf numFmtId="0" fontId="2" fillId="13" borderId="28" xfId="0" applyFont="1" applyFill="1" applyBorder="1" applyAlignment="1"/>
    <xf numFmtId="0" fontId="2" fillId="13" borderId="29" xfId="0" applyFont="1" applyFill="1" applyBorder="1" applyAlignment="1"/>
    <xf numFmtId="49" fontId="9" fillId="12" borderId="44" xfId="3" applyNumberFormat="1" applyFont="1" applyFill="1" applyBorder="1" applyAlignment="1">
      <alignment horizontal="center" vertical="center" wrapText="1"/>
    </xf>
    <xf numFmtId="0" fontId="13" fillId="0" borderId="0" xfId="3" applyFont="1" applyAlignment="1"/>
    <xf numFmtId="49" fontId="4" fillId="0" borderId="65" xfId="3" applyNumberFormat="1" applyFont="1" applyBorder="1" applyAlignment="1">
      <alignment horizontal="center"/>
    </xf>
    <xf numFmtId="49" fontId="8" fillId="0" borderId="64" xfId="3" applyNumberFormat="1" applyBorder="1" applyAlignment="1">
      <alignment horizontal="center"/>
    </xf>
    <xf numFmtId="49" fontId="4" fillId="0" borderId="66" xfId="3" applyNumberFormat="1" applyFont="1" applyBorder="1" applyAlignment="1">
      <alignment horizontal="center"/>
    </xf>
    <xf numFmtId="49" fontId="4" fillId="0" borderId="7" xfId="3" applyNumberFormat="1" applyFont="1" applyBorder="1" applyAlignment="1">
      <alignment horizontal="center"/>
    </xf>
    <xf numFmtId="49" fontId="4" fillId="0" borderId="23" xfId="3" applyNumberFormat="1" applyFont="1" applyBorder="1" applyAlignment="1">
      <alignment horizontal="center"/>
    </xf>
    <xf numFmtId="49" fontId="4" fillId="0" borderId="67" xfId="3" applyNumberFormat="1" applyFont="1" applyBorder="1" applyAlignment="1">
      <alignment horizontal="center"/>
    </xf>
    <xf numFmtId="49" fontId="4" fillId="0" borderId="19" xfId="3" applyNumberFormat="1" applyFont="1" applyBorder="1" applyAlignment="1">
      <alignment horizontal="center"/>
    </xf>
    <xf numFmtId="49" fontId="8" fillId="0" borderId="68" xfId="3" applyNumberFormat="1" applyBorder="1" applyAlignment="1">
      <alignment horizontal="center"/>
    </xf>
    <xf numFmtId="49" fontId="4" fillId="0" borderId="69" xfId="3" applyNumberFormat="1" applyFont="1" applyBorder="1" applyAlignment="1">
      <alignment horizontal="center"/>
    </xf>
    <xf numFmtId="0" fontId="2" fillId="0" borderId="70" xfId="3" applyFont="1" applyBorder="1" applyAlignment="1">
      <alignment horizontal="center" vertical="top"/>
    </xf>
    <xf numFmtId="0" fontId="2" fillId="0" borderId="70" xfId="3" applyFont="1" applyBorder="1" applyAlignment="1">
      <alignment horizontal="center" vertical="center" wrapText="1"/>
    </xf>
    <xf numFmtId="0" fontId="14" fillId="0" borderId="0" xfId="3" applyFont="1" applyAlignment="1">
      <alignment horizontal="right"/>
    </xf>
    <xf numFmtId="0" fontId="15" fillId="0" borderId="0" xfId="3" applyFont="1" applyAlignment="1"/>
    <xf numFmtId="0" fontId="2" fillId="0" borderId="0" xfId="3" applyFont="1" applyAlignment="1"/>
    <xf numFmtId="3" fontId="16" fillId="18" borderId="71" xfId="0" applyNumberFormat="1" applyFont="1" applyFill="1" applyBorder="1" applyAlignment="1">
      <alignment vertical="top" wrapText="1"/>
    </xf>
    <xf numFmtId="3" fontId="16" fillId="18" borderId="18" xfId="0" applyNumberFormat="1" applyFont="1" applyFill="1" applyBorder="1" applyAlignment="1">
      <alignment vertical="top" wrapText="1"/>
    </xf>
    <xf numFmtId="3" fontId="16" fillId="18" borderId="73" xfId="0" applyNumberFormat="1" applyFont="1" applyFill="1" applyBorder="1" applyAlignment="1">
      <alignment vertical="top" wrapText="1"/>
    </xf>
    <xf numFmtId="0" fontId="2" fillId="12" borderId="43" xfId="3" applyFont="1" applyFill="1" applyBorder="1" applyAlignment="1">
      <alignment horizontal="center" vertical="center" wrapText="1"/>
    </xf>
    <xf numFmtId="0" fontId="2" fillId="12" borderId="51" xfId="3" applyFont="1" applyFill="1" applyBorder="1" applyAlignment="1">
      <alignment horizontal="center" vertical="center" wrapText="1"/>
    </xf>
    <xf numFmtId="0" fontId="2" fillId="12" borderId="38" xfId="3" applyFont="1" applyFill="1" applyBorder="1" applyAlignment="1">
      <alignment horizontal="center" vertical="center" wrapText="1"/>
    </xf>
    <xf numFmtId="0" fontId="2" fillId="12" borderId="54" xfId="3" applyFont="1" applyFill="1" applyBorder="1" applyAlignment="1">
      <alignment horizontal="center" vertical="center" wrapText="1"/>
    </xf>
    <xf numFmtId="3" fontId="16" fillId="19" borderId="72" xfId="0" applyNumberFormat="1" applyFont="1" applyFill="1" applyBorder="1" applyAlignment="1">
      <alignment vertical="top" wrapText="1"/>
    </xf>
    <xf numFmtId="3" fontId="16" fillId="19" borderId="2" xfId="0" applyNumberFormat="1" applyFont="1" applyFill="1" applyBorder="1" applyAlignment="1">
      <alignment vertical="top" wrapText="1"/>
    </xf>
    <xf numFmtId="3" fontId="16" fillId="19" borderId="74" xfId="0" applyNumberFormat="1" applyFont="1" applyFill="1" applyBorder="1" applyAlignment="1">
      <alignment vertical="top" wrapText="1"/>
    </xf>
    <xf numFmtId="0" fontId="8" fillId="10" borderId="75" xfId="3" applyFill="1" applyBorder="1">
      <alignment horizontal="left" vertical="center" wrapText="1"/>
    </xf>
    <xf numFmtId="0" fontId="8" fillId="4" borderId="75" xfId="3" applyFill="1" applyBorder="1">
      <alignment horizontal="left" vertical="center" wrapText="1"/>
    </xf>
    <xf numFmtId="0" fontId="8" fillId="10" borderId="50" xfId="3" applyFill="1" applyBorder="1">
      <alignment horizontal="left" vertical="center" wrapText="1"/>
    </xf>
    <xf numFmtId="0" fontId="8" fillId="4" borderId="50" xfId="3" applyFill="1" applyBorder="1">
      <alignment horizontal="left" vertical="center" wrapText="1"/>
    </xf>
    <xf numFmtId="0" fontId="8" fillId="4" borderId="76" xfId="3" applyFill="1" applyBorder="1">
      <alignment horizontal="left" vertical="center" wrapText="1"/>
    </xf>
    <xf numFmtId="0" fontId="8" fillId="4" borderId="37" xfId="3" applyFill="1" applyBorder="1">
      <alignment horizontal="left" vertical="center" wrapText="1"/>
    </xf>
    <xf numFmtId="0" fontId="8" fillId="4" borderId="53" xfId="3" applyFill="1" applyBorder="1">
      <alignment horizontal="left" vertical="center" wrapText="1"/>
    </xf>
    <xf numFmtId="0" fontId="2" fillId="12" borderId="36" xfId="3" applyFont="1" applyFill="1" applyBorder="1" applyAlignment="1">
      <alignment horizontal="center" vertical="center" wrapText="1"/>
    </xf>
    <xf numFmtId="165" fontId="8" fillId="4" borderId="41" xfId="1" applyNumberFormat="1" applyFont="1" applyFill="1" applyBorder="1" applyAlignment="1">
      <alignment horizontal="left" vertical="center" wrapText="1"/>
    </xf>
    <xf numFmtId="165" fontId="8" fillId="4" borderId="57" xfId="1" applyNumberFormat="1" applyFont="1" applyFill="1" applyBorder="1" applyAlignment="1">
      <alignment horizontal="left" vertical="center" wrapText="1"/>
    </xf>
    <xf numFmtId="0" fontId="2" fillId="12" borderId="70" xfId="3" applyFont="1" applyFill="1" applyBorder="1" applyAlignment="1">
      <alignment horizontal="center" vertical="center" wrapText="1"/>
    </xf>
    <xf numFmtId="165" fontId="8" fillId="4" borderId="35" xfId="1" applyNumberFormat="1" applyFont="1" applyFill="1" applyBorder="1" applyAlignment="1">
      <alignment horizontal="left" vertical="center" wrapText="1"/>
    </xf>
    <xf numFmtId="0" fontId="2" fillId="12" borderId="77" xfId="3" applyFont="1" applyFill="1" applyBorder="1" applyAlignment="1">
      <alignment horizontal="center" vertical="center" wrapText="1"/>
    </xf>
    <xf numFmtId="0" fontId="9" fillId="7" borderId="78" xfId="3" applyFont="1" applyFill="1" applyBorder="1" applyAlignment="1">
      <alignment horizontal="center" vertical="center" wrapText="1"/>
    </xf>
    <xf numFmtId="0" fontId="9" fillId="7" borderId="75" xfId="3" applyFont="1" applyFill="1" applyBorder="1" applyAlignment="1">
      <alignment horizontal="center" vertical="center" wrapText="1"/>
    </xf>
    <xf numFmtId="165" fontId="8" fillId="4" borderId="49" xfId="1" applyNumberFormat="1" applyFont="1" applyFill="1" applyBorder="1" applyAlignment="1">
      <alignment horizontal="left" vertical="center" wrapText="1"/>
    </xf>
    <xf numFmtId="0" fontId="9" fillId="12" borderId="36" xfId="3" applyFont="1" applyFill="1" applyBorder="1" applyAlignment="1">
      <alignment horizontal="center" vertical="center" wrapText="1"/>
    </xf>
    <xf numFmtId="0" fontId="2" fillId="7" borderId="39" xfId="3" applyFont="1" applyFill="1" applyBorder="1" applyAlignment="1">
      <alignment horizontal="center" vertical="center" wrapText="1"/>
    </xf>
    <xf numFmtId="165" fontId="8" fillId="4" borderId="80" xfId="1" applyNumberFormat="1" applyFont="1" applyFill="1" applyBorder="1" applyAlignment="1">
      <alignment horizontal="left" vertical="center" wrapText="1"/>
    </xf>
    <xf numFmtId="49" fontId="9" fillId="0" borderId="44" xfId="3" applyNumberFormat="1" applyFont="1" applyFill="1" applyBorder="1" applyAlignment="1">
      <alignment horizontal="center" vertical="center" wrapText="1"/>
    </xf>
    <xf numFmtId="49" fontId="2" fillId="12" borderId="44" xfId="3" applyNumberFormat="1" applyFont="1" applyFill="1" applyBorder="1" applyAlignment="1">
      <alignment horizontal="center" vertical="center" wrapText="1"/>
    </xf>
    <xf numFmtId="167" fontId="0" fillId="16" borderId="30" xfId="0" applyNumberFormat="1" applyFill="1" applyBorder="1" applyAlignment="1">
      <alignment vertical="center"/>
    </xf>
    <xf numFmtId="167" fontId="0" fillId="16" borderId="26" xfId="0" applyNumberFormat="1" applyFill="1" applyBorder="1" applyAlignment="1">
      <alignment vertical="center"/>
    </xf>
    <xf numFmtId="10" fontId="3" fillId="0" borderId="0" xfId="5" applyNumberFormat="1" applyFont="1"/>
    <xf numFmtId="10" fontId="3" fillId="0" borderId="0" xfId="5" applyNumberFormat="1" applyFont="1" applyAlignment="1">
      <alignment horizontal="center"/>
    </xf>
    <xf numFmtId="0" fontId="2" fillId="7" borderId="79" xfId="3" applyFont="1" applyFill="1" applyBorder="1" applyAlignment="1">
      <alignment horizontal="center" vertical="center" wrapText="1"/>
    </xf>
    <xf numFmtId="0" fontId="2" fillId="10" borderId="75" xfId="3" applyFont="1" applyFill="1" applyBorder="1" applyAlignment="1">
      <alignment horizontal="center" vertical="center" wrapText="1"/>
    </xf>
    <xf numFmtId="2" fontId="2" fillId="10" borderId="75" xfId="3" applyNumberFormat="1" applyFont="1" applyFill="1" applyBorder="1" applyAlignment="1">
      <alignment horizontal="center" vertical="center" wrapText="1"/>
    </xf>
    <xf numFmtId="0" fontId="2" fillId="7" borderId="61" xfId="3" applyFont="1" applyFill="1" applyBorder="1" applyAlignment="1">
      <alignment horizontal="center" vertical="center" wrapText="1"/>
    </xf>
    <xf numFmtId="2" fontId="2" fillId="10" borderId="40" xfId="3" applyNumberFormat="1" applyFont="1" applyFill="1" applyBorder="1" applyAlignment="1">
      <alignment horizontal="center" vertical="center" wrapText="1"/>
    </xf>
    <xf numFmtId="2" fontId="2" fillId="10" borderId="61" xfId="3" applyNumberFormat="1" applyFont="1" applyFill="1" applyBorder="1" applyAlignment="1">
      <alignment horizontal="center" vertical="center" wrapText="1"/>
    </xf>
    <xf numFmtId="0" fontId="2" fillId="7" borderId="63" xfId="3" applyFont="1" applyFill="1" applyBorder="1" applyAlignment="1">
      <alignment horizontal="center" vertical="center" wrapText="1"/>
    </xf>
    <xf numFmtId="2" fontId="2" fillId="10" borderId="55" xfId="3" applyNumberFormat="1" applyFont="1" applyFill="1" applyBorder="1" applyAlignment="1">
      <alignment horizontal="center" vertical="center" wrapText="1"/>
    </xf>
    <xf numFmtId="1" fontId="1" fillId="4" borderId="78" xfId="1" applyNumberFormat="1" applyFont="1" applyFill="1" applyBorder="1" applyAlignment="1">
      <alignment horizontal="right" vertical="center" wrapText="1"/>
    </xf>
    <xf numFmtId="165" fontId="1" fillId="4" borderId="76" xfId="1" applyNumberFormat="1" applyFont="1" applyFill="1" applyBorder="1" applyAlignment="1">
      <alignment horizontal="left" vertical="center" wrapText="1"/>
    </xf>
    <xf numFmtId="1" fontId="1" fillId="4" borderId="1" xfId="1" applyNumberFormat="1" applyFont="1" applyFill="1" applyBorder="1" applyAlignment="1">
      <alignment horizontal="right" vertical="center" wrapText="1"/>
    </xf>
    <xf numFmtId="165" fontId="1" fillId="4" borderId="81" xfId="1" applyNumberFormat="1" applyFont="1" applyFill="1" applyBorder="1" applyAlignment="1">
      <alignment horizontal="left" vertical="center" wrapText="1"/>
    </xf>
    <xf numFmtId="165" fontId="1" fillId="4" borderId="37" xfId="1" applyNumberFormat="1" applyFont="1" applyFill="1" applyBorder="1" applyAlignment="1">
      <alignment horizontal="left" vertical="center" wrapText="1"/>
    </xf>
    <xf numFmtId="165" fontId="1" fillId="4" borderId="49" xfId="1" applyNumberFormat="1" applyFont="1" applyFill="1" applyBorder="1" applyAlignment="1">
      <alignment horizontal="left" vertical="center" wrapText="1"/>
    </xf>
    <xf numFmtId="1" fontId="1" fillId="4" borderId="55" xfId="1" applyNumberFormat="1" applyFont="1" applyFill="1" applyBorder="1" applyAlignment="1">
      <alignment horizontal="right" vertical="center" wrapText="1"/>
    </xf>
    <xf numFmtId="165" fontId="1" fillId="4" borderId="56" xfId="1" applyNumberFormat="1" applyFont="1" applyFill="1" applyBorder="1" applyAlignment="1">
      <alignment horizontal="left" vertical="center" wrapText="1"/>
    </xf>
    <xf numFmtId="0" fontId="2" fillId="7" borderId="60" xfId="3" applyFont="1" applyFill="1" applyBorder="1" applyAlignment="1">
      <alignment horizontal="center" vertical="center" wrapText="1"/>
    </xf>
    <xf numFmtId="0" fontId="2" fillId="7" borderId="62" xfId="3" applyFont="1" applyFill="1" applyBorder="1" applyAlignment="1">
      <alignment horizontal="center" vertical="center" wrapText="1"/>
    </xf>
    <xf numFmtId="2" fontId="2" fillId="10" borderId="39" xfId="3" applyNumberFormat="1" applyFont="1" applyFill="1" applyBorder="1" applyAlignment="1">
      <alignment horizontal="center" vertical="center" wrapText="1"/>
    </xf>
    <xf numFmtId="0" fontId="2" fillId="7" borderId="45" xfId="3" applyFont="1" applyFill="1" applyBorder="1" applyAlignment="1">
      <alignment horizontal="center" vertical="center" wrapText="1"/>
    </xf>
    <xf numFmtId="165" fontId="1" fillId="4" borderId="42" xfId="1" applyNumberFormat="1" applyFont="1" applyFill="1" applyBorder="1" applyAlignment="1">
      <alignment horizontal="left" vertical="center" wrapText="1"/>
    </xf>
    <xf numFmtId="1" fontId="1" fillId="4" borderId="41" xfId="1" applyNumberFormat="1" applyFont="1" applyFill="1" applyBorder="1" applyAlignment="1">
      <alignment vertical="center" wrapText="1"/>
    </xf>
    <xf numFmtId="0" fontId="2" fillId="7" borderId="48" xfId="3" applyFont="1" applyFill="1" applyBorder="1" applyAlignment="1">
      <alignment horizontal="center" vertical="center" wrapText="1"/>
    </xf>
    <xf numFmtId="165" fontId="1" fillId="4" borderId="52" xfId="1" applyNumberFormat="1" applyFont="1" applyFill="1" applyBorder="1" applyAlignment="1">
      <alignment horizontal="left" vertical="center" wrapText="1"/>
    </xf>
    <xf numFmtId="1" fontId="1" fillId="4" borderId="57" xfId="1" applyNumberFormat="1" applyFont="1" applyFill="1" applyBorder="1" applyAlignment="1">
      <alignment vertical="center" wrapText="1"/>
    </xf>
    <xf numFmtId="165" fontId="1" fillId="4" borderId="39" xfId="1" applyNumberFormat="1" applyFont="1" applyFill="1" applyBorder="1" applyAlignment="1">
      <alignment horizontal="left" vertical="center" wrapText="1"/>
    </xf>
    <xf numFmtId="1" fontId="1" fillId="4" borderId="35" xfId="1" applyNumberFormat="1" applyFont="1" applyFill="1" applyBorder="1" applyAlignment="1">
      <alignment vertical="center" wrapText="1"/>
    </xf>
    <xf numFmtId="0" fontId="2" fillId="7" borderId="42" xfId="3" applyFont="1" applyFill="1" applyBorder="1" applyAlignment="1">
      <alignment horizontal="center" vertical="center" wrapText="1"/>
    </xf>
    <xf numFmtId="0" fontId="2" fillId="7" borderId="52" xfId="3" applyFont="1" applyFill="1" applyBorder="1" applyAlignment="1">
      <alignment horizontal="center" vertical="center" wrapText="1"/>
    </xf>
    <xf numFmtId="165" fontId="1" fillId="4" borderId="40" xfId="1" applyNumberFormat="1" applyFont="1" applyFill="1" applyBorder="1" applyAlignment="1">
      <alignment horizontal="left" vertical="center" wrapText="1"/>
    </xf>
    <xf numFmtId="165" fontId="1" fillId="4" borderId="48" xfId="1" applyNumberFormat="1" applyFont="1" applyFill="1" applyBorder="1" applyAlignment="1">
      <alignment horizontal="left" vertical="center" wrapText="1"/>
    </xf>
    <xf numFmtId="165" fontId="1" fillId="4" borderId="41" xfId="1" applyNumberFormat="1" applyFont="1" applyFill="1" applyBorder="1" applyAlignment="1">
      <alignment horizontal="left" vertical="center" wrapText="1"/>
    </xf>
    <xf numFmtId="165" fontId="1" fillId="4" borderId="35" xfId="1" applyNumberFormat="1" applyFont="1" applyFill="1" applyBorder="1" applyAlignment="1">
      <alignment horizontal="left" vertical="center" wrapText="1"/>
    </xf>
    <xf numFmtId="0" fontId="2" fillId="7" borderId="40" xfId="3" applyFont="1" applyFill="1" applyBorder="1" applyAlignment="1">
      <alignment horizontal="center" vertical="center" wrapText="1"/>
    </xf>
    <xf numFmtId="167" fontId="0" fillId="16" borderId="11" xfId="0" applyNumberFormat="1" applyFill="1" applyBorder="1" applyAlignment="1">
      <alignment vertical="center"/>
    </xf>
    <xf numFmtId="0" fontId="2" fillId="0" borderId="70" xfId="3" applyFont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49" fontId="9" fillId="0" borderId="58" xfId="3" applyNumberFormat="1" applyFont="1" applyBorder="1" applyAlignment="1">
      <alignment horizontal="center" vertical="center" wrapText="1"/>
    </xf>
    <xf numFmtId="49" fontId="9" fillId="0" borderId="59" xfId="3" applyNumberFormat="1" applyFont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0" fontId="2" fillId="0" borderId="70" xfId="3" applyFont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13" borderId="16" xfId="0" applyFont="1" applyFill="1" applyBorder="1" applyAlignment="1">
      <alignment horizontal="center"/>
    </xf>
    <xf numFmtId="0" fontId="2" fillId="13" borderId="24" xfId="0" applyFont="1" applyFill="1" applyBorder="1" applyAlignment="1">
      <alignment horizontal="center"/>
    </xf>
    <xf numFmtId="0" fontId="2" fillId="13" borderId="25" xfId="0" applyFont="1" applyFill="1" applyBorder="1" applyAlignment="1">
      <alignment horizontal="center"/>
    </xf>
    <xf numFmtId="43" fontId="0" fillId="16" borderId="30" xfId="0" applyNumberFormat="1" applyFill="1" applyBorder="1" applyAlignment="1">
      <alignment horizontal="center" vertical="center"/>
    </xf>
    <xf numFmtId="43" fontId="0" fillId="16" borderId="0" xfId="0" applyNumberFormat="1" applyFill="1" applyBorder="1" applyAlignment="1">
      <alignment horizontal="center" vertical="center"/>
    </xf>
    <xf numFmtId="43" fontId="0" fillId="16" borderId="31" xfId="0" applyNumberFormat="1" applyFill="1" applyBorder="1" applyAlignment="1">
      <alignment horizontal="center" vertical="center"/>
    </xf>
    <xf numFmtId="43" fontId="0" fillId="16" borderId="26" xfId="0" applyNumberFormat="1" applyFill="1" applyBorder="1" applyAlignment="1">
      <alignment horizontal="center" vertical="center"/>
    </xf>
    <xf numFmtId="43" fontId="0" fillId="16" borderId="27" xfId="0" applyNumberFormat="1" applyFill="1" applyBorder="1" applyAlignment="1">
      <alignment horizontal="center" vertical="center"/>
    </xf>
    <xf numFmtId="43" fontId="0" fillId="16" borderId="15" xfId="0" applyNumberFormat="1" applyFill="1" applyBorder="1" applyAlignment="1">
      <alignment horizontal="center" vertical="center"/>
    </xf>
    <xf numFmtId="167" fontId="0" fillId="16" borderId="30" xfId="0" applyNumberFormat="1" applyFill="1" applyBorder="1" applyAlignment="1">
      <alignment horizontal="center" vertical="center"/>
    </xf>
    <xf numFmtId="167" fontId="0" fillId="16" borderId="0" xfId="0" applyNumberFormat="1" applyFill="1" applyBorder="1" applyAlignment="1">
      <alignment horizontal="center" vertical="center"/>
    </xf>
    <xf numFmtId="167" fontId="0" fillId="16" borderId="31" xfId="0" applyNumberFormat="1" applyFill="1" applyBorder="1" applyAlignment="1">
      <alignment horizontal="center" vertical="center"/>
    </xf>
    <xf numFmtId="167" fontId="0" fillId="16" borderId="26" xfId="0" applyNumberFormat="1" applyFill="1" applyBorder="1" applyAlignment="1">
      <alignment horizontal="center" vertical="center"/>
    </xf>
    <xf numFmtId="167" fontId="0" fillId="16" borderId="27" xfId="0" applyNumberFormat="1" applyFill="1" applyBorder="1" applyAlignment="1">
      <alignment horizontal="center" vertical="center"/>
    </xf>
    <xf numFmtId="167" fontId="0" fillId="16" borderId="15" xfId="0" applyNumberForma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/>
    </xf>
    <xf numFmtId="0" fontId="2" fillId="13" borderId="26" xfId="0" applyFont="1" applyFill="1" applyBorder="1" applyAlignment="1">
      <alignment horizontal="center"/>
    </xf>
    <xf numFmtId="0" fontId="2" fillId="13" borderId="33" xfId="0" applyFont="1" applyFill="1" applyBorder="1" applyAlignment="1">
      <alignment horizontal="center" vertical="center"/>
    </xf>
    <xf numFmtId="0" fontId="2" fillId="13" borderId="34" xfId="0" applyFont="1" applyFill="1" applyBorder="1" applyAlignment="1">
      <alignment horizontal="center" vertical="center"/>
    </xf>
  </cellXfs>
  <cellStyles count="6">
    <cellStyle name="Ezres" xfId="1" builtinId="3"/>
    <cellStyle name="Hivatkozás" xfId="2" builtinId="8"/>
    <cellStyle name="Normál" xfId="0" builtinId="0"/>
    <cellStyle name="Normál 2" xfId="3" xr:uid="{00000000-0005-0000-0000-000003000000}"/>
    <cellStyle name="Normál 3" xfId="4" xr:uid="{00000000-0005-0000-0000-000004000000}"/>
    <cellStyle name="Százalé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8</xdr:col>
      <xdr:colOff>0</xdr:colOff>
      <xdr:row>0</xdr:row>
      <xdr:rowOff>1190625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C45C203D-8417-4130-9E03-3CB177B0B099}"/>
            </a:ext>
          </a:extLst>
        </xdr:cNvPr>
        <xdr:cNvSpPr txBox="1"/>
      </xdr:nvSpPr>
      <xdr:spPr>
        <a:xfrm>
          <a:off x="28575" y="28575"/>
          <a:ext cx="7248525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1. példa: </a:t>
          </a:r>
          <a:r>
            <a:rPr lang="hu-HU" sz="1100" b="1" baseline="0">
              <a:latin typeface="Arial" panose="020B0604020202020204" pitchFamily="34" charset="0"/>
              <a:cs typeface="Arial" panose="020B0604020202020204" pitchFamily="34" charset="0"/>
            </a:rPr>
            <a:t> Vállalati hitel, negyedéves amortizáció, negyedéves kamatfixálás, fix kamatfelár</a:t>
          </a:r>
        </a:p>
        <a:p>
          <a:endParaRPr lang="hu-HU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változó kamatozású instrumentumok az első átárazódás előtt a fix kamatozású instrumentumokkal azonos módon jelentendők. Az átárazódáskor a fennálló tőketartozás összegét kell jelenteni, ezt követően a kamatfizetéseknek a csak felár komponense jelentendő a szerződéses lejáratig.</a:t>
          </a:r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 sz="1100"/>
        </a:p>
      </xdr:txBody>
    </xdr:sp>
    <xdr:clientData/>
  </xdr:twoCellAnchor>
  <xdr:twoCellAnchor>
    <xdr:from>
      <xdr:col>4</xdr:col>
      <xdr:colOff>490818</xdr:colOff>
      <xdr:row>20</xdr:row>
      <xdr:rowOff>145677</xdr:rowOff>
    </xdr:from>
    <xdr:to>
      <xdr:col>8</xdr:col>
      <xdr:colOff>262218</xdr:colOff>
      <xdr:row>24</xdr:row>
      <xdr:rowOff>112059</xdr:rowOff>
    </xdr:to>
    <xdr:sp macro="" textlink="">
      <xdr:nvSpPr>
        <xdr:cNvPr id="10" name="Felirat: íves vonal 9">
          <a:extLst>
            <a:ext uri="{FF2B5EF4-FFF2-40B4-BE49-F238E27FC236}">
              <a16:creationId xmlns:a16="http://schemas.microsoft.com/office/drawing/2014/main" id="{E0F55664-D2C9-4FCD-BC69-3E1680AE7391}"/>
            </a:ext>
          </a:extLst>
        </xdr:cNvPr>
        <xdr:cNvSpPr/>
      </xdr:nvSpPr>
      <xdr:spPr>
        <a:xfrm>
          <a:off x="5735171" y="5020236"/>
          <a:ext cx="5139018" cy="593911"/>
        </a:xfrm>
        <a:prstGeom prst="borderCallout2">
          <a:avLst>
            <a:gd name="adj1" fmla="val 56250"/>
            <a:gd name="adj2" fmla="val -5107"/>
            <a:gd name="adj3" fmla="val 56250"/>
            <a:gd name="adj4" fmla="val -25135"/>
            <a:gd name="adj5" fmla="val 317023"/>
            <a:gd name="adj6" fmla="val -524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jövőbeni kamatfizetéseknél (az első, ismert kivételével) már csak a kamatfelár komponens számolódik!</a:t>
          </a:r>
        </a:p>
      </xdr:txBody>
    </xdr:sp>
    <xdr:clientData/>
  </xdr:twoCellAnchor>
  <xdr:twoCellAnchor>
    <xdr:from>
      <xdr:col>9</xdr:col>
      <xdr:colOff>1904777</xdr:colOff>
      <xdr:row>0</xdr:row>
      <xdr:rowOff>558389</xdr:rowOff>
    </xdr:from>
    <xdr:to>
      <xdr:col>11</xdr:col>
      <xdr:colOff>117550</xdr:colOff>
      <xdr:row>1</xdr:row>
      <xdr:rowOff>192405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CD065EC9-4770-41E7-9813-016347924C66}"/>
            </a:ext>
          </a:extLst>
        </xdr:cNvPr>
        <xdr:cNvSpPr/>
      </xdr:nvSpPr>
      <xdr:spPr>
        <a:xfrm>
          <a:off x="14242453" y="558389"/>
          <a:ext cx="1865891" cy="855457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210186"/>
            <a:gd name="adj6" fmla="val -2816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Az átárazódás uitán fennálló tőketartozás (37.5M) és a 3. hónapban történő tőketörlesztés (2.5M) összege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224117</xdr:colOff>
      <xdr:row>0</xdr:row>
      <xdr:rowOff>605118</xdr:rowOff>
    </xdr:from>
    <xdr:to>
      <xdr:col>9</xdr:col>
      <xdr:colOff>1287928</xdr:colOff>
      <xdr:row>0</xdr:row>
      <xdr:rowOff>1157940</xdr:rowOff>
    </xdr:to>
    <xdr:sp macro="" textlink="">
      <xdr:nvSpPr>
        <xdr:cNvPr id="2" name="Felirat: íves vonal 9">
          <a:extLst>
            <a:ext uri="{FF2B5EF4-FFF2-40B4-BE49-F238E27FC236}">
              <a16:creationId xmlns:a16="http://schemas.microsoft.com/office/drawing/2014/main" id="{2D28AD54-5471-43FB-A4B5-98597723BE52}"/>
            </a:ext>
          </a:extLst>
        </xdr:cNvPr>
        <xdr:cNvSpPr/>
      </xdr:nvSpPr>
      <xdr:spPr>
        <a:xfrm>
          <a:off x="11198411" y="605118"/>
          <a:ext cx="2535517" cy="552822"/>
        </a:xfrm>
        <a:prstGeom prst="borderCallout2">
          <a:avLst>
            <a:gd name="adj1" fmla="val 56250"/>
            <a:gd name="adj2" fmla="val -982"/>
            <a:gd name="adj3" fmla="val 56250"/>
            <a:gd name="adj4" fmla="val -17191"/>
            <a:gd name="adj5" fmla="val 126497"/>
            <a:gd name="adj6" fmla="val -33179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Az új oszlop (Felár mértéke (%)) a 2024. évi kitöltési útmutató alapján töltendő.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1</xdr:rowOff>
    </xdr:from>
    <xdr:to>
      <xdr:col>8</xdr:col>
      <xdr:colOff>37353</xdr:colOff>
      <xdr:row>0</xdr:row>
      <xdr:rowOff>1098177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2EA182C-E7FA-4899-AB6E-F5D5590D5DB5}"/>
            </a:ext>
          </a:extLst>
        </xdr:cNvPr>
        <xdr:cNvSpPr txBox="1"/>
      </xdr:nvSpPr>
      <xdr:spPr>
        <a:xfrm>
          <a:off x="22412" y="1"/>
          <a:ext cx="9345706" cy="1098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2. példa: Lakossági jelzáloghitel, ötéves kamatperiódussal</a:t>
          </a:r>
          <a:endParaRPr lang="hu-HU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változó kamatozású instrumentumok az első átárazódás előtt a fix kamatozású instrumentumokkal azonos módon jelentendők. A referenciakamat és egy konstans szorzatához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kötött kamatozású termék feláraként a képletben szereplő felárat kell jelenteni (pl. ÁKK * 130% + 0% esetén 0%-ot).</a:t>
          </a: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Az átárazódáskor a fennálló tőketartozás összegét kell jelenteni, ezt követően a kamatfizetéseknek a csak felár komponense jelentendő a szerződéses lejáratig.</a:t>
          </a:r>
          <a:endParaRPr lang="hu-HU" sz="11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414616</xdr:colOff>
      <xdr:row>28</xdr:row>
      <xdr:rowOff>78441</xdr:rowOff>
    </xdr:from>
    <xdr:to>
      <xdr:col>9</xdr:col>
      <xdr:colOff>593911</xdr:colOff>
      <xdr:row>32</xdr:row>
      <xdr:rowOff>22412</xdr:rowOff>
    </xdr:to>
    <xdr:sp macro="" textlink="">
      <xdr:nvSpPr>
        <xdr:cNvPr id="4" name="Callout: Bent Line 3">
          <a:extLst>
            <a:ext uri="{FF2B5EF4-FFF2-40B4-BE49-F238E27FC236}">
              <a16:creationId xmlns:a16="http://schemas.microsoft.com/office/drawing/2014/main" id="{DF8FC47B-CC4B-4D22-9F3F-D453B403EC7F}"/>
            </a:ext>
          </a:extLst>
        </xdr:cNvPr>
        <xdr:cNvSpPr/>
      </xdr:nvSpPr>
      <xdr:spPr>
        <a:xfrm>
          <a:off x="3193675" y="7126941"/>
          <a:ext cx="5468471" cy="571500"/>
        </a:xfrm>
        <a:prstGeom prst="borderCallout2">
          <a:avLst>
            <a:gd name="adj1" fmla="val 25647"/>
            <a:gd name="adj2" fmla="val -1246"/>
            <a:gd name="adj3" fmla="val 25252"/>
            <a:gd name="adj4" fmla="val -9310"/>
            <a:gd name="adj5" fmla="val 25840"/>
            <a:gd name="adj6" fmla="val -1595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Ez azt jelenti, hogy a kamat változásának mértéke az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adott futamidejű ÁKK referencia-állampapír hozamváltozásának bizonyos százaléka. Mivel nincs konstans kamatfelár, ezért itt 0-nak tekinthető, így jelen esetben az 5. év után nem szükséges kamatfizetést számolni.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56030</xdr:colOff>
      <xdr:row>14</xdr:row>
      <xdr:rowOff>117550</xdr:rowOff>
    </xdr:from>
    <xdr:to>
      <xdr:col>12</xdr:col>
      <xdr:colOff>748889</xdr:colOff>
      <xdr:row>18</xdr:row>
      <xdr:rowOff>67235</xdr:rowOff>
    </xdr:to>
    <xdr:sp macro="" textlink="">
      <xdr:nvSpPr>
        <xdr:cNvPr id="5" name="Felirat: íves vonal 9">
          <a:extLst>
            <a:ext uri="{FF2B5EF4-FFF2-40B4-BE49-F238E27FC236}">
              <a16:creationId xmlns:a16="http://schemas.microsoft.com/office/drawing/2014/main" id="{C5F60A38-3D97-42A9-B842-021EADDE3F38}"/>
            </a:ext>
          </a:extLst>
        </xdr:cNvPr>
        <xdr:cNvSpPr/>
      </xdr:nvSpPr>
      <xdr:spPr>
        <a:xfrm>
          <a:off x="12371295" y="3681021"/>
          <a:ext cx="2631476" cy="622038"/>
        </a:xfrm>
        <a:prstGeom prst="borderCallout2">
          <a:avLst>
            <a:gd name="adj1" fmla="val 56250"/>
            <a:gd name="adj2" fmla="val -5107"/>
            <a:gd name="adj3" fmla="val 56250"/>
            <a:gd name="adj4" fmla="val -17191"/>
            <a:gd name="adj5" fmla="val 235363"/>
            <a:gd name="adj6" fmla="val -3859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Az átárazódás uitán fennálló tőketartozás és az adott lejárati sávba eső tőketörlesztések összege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261471</xdr:colOff>
      <xdr:row>0</xdr:row>
      <xdr:rowOff>530412</xdr:rowOff>
    </xdr:from>
    <xdr:to>
      <xdr:col>9</xdr:col>
      <xdr:colOff>1355165</xdr:colOff>
      <xdr:row>0</xdr:row>
      <xdr:rowOff>1090703</xdr:rowOff>
    </xdr:to>
    <xdr:sp macro="" textlink="">
      <xdr:nvSpPr>
        <xdr:cNvPr id="7" name="Felirat: íves vonal 9">
          <a:extLst>
            <a:ext uri="{FF2B5EF4-FFF2-40B4-BE49-F238E27FC236}">
              <a16:creationId xmlns:a16="http://schemas.microsoft.com/office/drawing/2014/main" id="{B4DE0EA4-AEDE-4ADF-ABD2-B1FC37EC7178}"/>
            </a:ext>
          </a:extLst>
        </xdr:cNvPr>
        <xdr:cNvSpPr/>
      </xdr:nvSpPr>
      <xdr:spPr>
        <a:xfrm>
          <a:off x="9592236" y="530412"/>
          <a:ext cx="2535517" cy="560291"/>
        </a:xfrm>
        <a:prstGeom prst="borderCallout2">
          <a:avLst>
            <a:gd name="adj1" fmla="val 56250"/>
            <a:gd name="adj2" fmla="val -982"/>
            <a:gd name="adj3" fmla="val 56250"/>
            <a:gd name="adj4" fmla="val -17191"/>
            <a:gd name="adj5" fmla="val 110744"/>
            <a:gd name="adj6" fmla="val -31706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Az új oszlop (Felár mértéke (%)) a 2024. évi kitöltési útmutató alapján töltendő.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414618</xdr:colOff>
      <xdr:row>41</xdr:row>
      <xdr:rowOff>67236</xdr:rowOff>
    </xdr:from>
    <xdr:to>
      <xdr:col>7</xdr:col>
      <xdr:colOff>22413</xdr:colOff>
      <xdr:row>42</xdr:row>
      <xdr:rowOff>112058</xdr:rowOff>
    </xdr:to>
    <xdr:sp macro="" textlink="">
      <xdr:nvSpPr>
        <xdr:cNvPr id="2" name="Callout: Bent Line 1">
          <a:extLst>
            <a:ext uri="{FF2B5EF4-FFF2-40B4-BE49-F238E27FC236}">
              <a16:creationId xmlns:a16="http://schemas.microsoft.com/office/drawing/2014/main" id="{31F89FAA-D939-4539-91E1-582BAE322329}"/>
            </a:ext>
          </a:extLst>
        </xdr:cNvPr>
        <xdr:cNvSpPr/>
      </xdr:nvSpPr>
      <xdr:spPr>
        <a:xfrm>
          <a:off x="3193677" y="7944971"/>
          <a:ext cx="4605618" cy="392205"/>
        </a:xfrm>
        <a:prstGeom prst="borderCallout2">
          <a:avLst>
            <a:gd name="adj1" fmla="val 25647"/>
            <a:gd name="adj2" fmla="val -1246"/>
            <a:gd name="adj3" fmla="val 25252"/>
            <a:gd name="adj4" fmla="val -9310"/>
            <a:gd name="adj5" fmla="val 25840"/>
            <a:gd name="adj6" fmla="val -1595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100% PSA:  https://en.wikipedia.org/wiki/PSA_prepayment_model</a:t>
          </a:r>
          <a:b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Minden bank természetesen a saját előtörlesztési modelljét használja. </a:t>
          </a:r>
        </a:p>
      </xdr:txBody>
    </xdr:sp>
    <xdr:clientData/>
  </xdr:twoCellAnchor>
  <xdr:twoCellAnchor>
    <xdr:from>
      <xdr:col>0</xdr:col>
      <xdr:colOff>22413</xdr:colOff>
      <xdr:row>0</xdr:row>
      <xdr:rowOff>22413</xdr:rowOff>
    </xdr:from>
    <xdr:to>
      <xdr:col>4</xdr:col>
      <xdr:colOff>941295</xdr:colOff>
      <xdr:row>0</xdr:row>
      <xdr:rowOff>993588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ED93C5C-FDAC-4910-A56A-9BC6C29914C8}"/>
            </a:ext>
          </a:extLst>
        </xdr:cNvPr>
        <xdr:cNvSpPr txBox="1"/>
      </xdr:nvSpPr>
      <xdr:spPr>
        <a:xfrm>
          <a:off x="22413" y="22413"/>
          <a:ext cx="5998882" cy="97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3. példa: Lakossági jelzáloghitel, fix kamatozású,</a:t>
          </a:r>
          <a:r>
            <a:rPr lang="hu-HU" sz="1100" b="1" baseline="0">
              <a:latin typeface="Arial" panose="020B0604020202020204" pitchFamily="34" charset="0"/>
              <a:cs typeface="Arial" panose="020B0604020202020204" pitchFamily="34" charset="0"/>
            </a:rPr>
            <a:t> előtörlesztési modellezéssel</a:t>
          </a:r>
        </a:p>
        <a:p>
          <a:pPr>
            <a:lnSpc>
              <a:spcPts val="1000"/>
            </a:lnSpc>
          </a:pPr>
          <a:endParaRPr lang="hu-HU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>
            <a:lnSpc>
              <a:spcPts val="1000"/>
            </a:lnSpc>
          </a:pP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Mivel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előtörlesztési modellezett termékről van szó, ezért a modellezett pénzáramlást/átárazódást szükséges bemutatni.</a:t>
          </a:r>
        </a:p>
        <a:p>
          <a:pPr eaLnBrk="1" fontAlgn="auto" latinLnBrk="0" hangingPunct="1">
            <a:lnSpc>
              <a:spcPts val="1100"/>
            </a:lnSpc>
          </a:pP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lentebb szereplő előtörlesztési modellezés csak példaként szolgál, minden bank a saját előtörlesztési modelljét hivatott használni.</a:t>
          </a:r>
        </a:p>
      </xdr:txBody>
    </xdr:sp>
    <xdr:clientData/>
  </xdr:twoCellAnchor>
  <xdr:twoCellAnchor>
    <xdr:from>
      <xdr:col>8</xdr:col>
      <xdr:colOff>806823</xdr:colOff>
      <xdr:row>0</xdr:row>
      <xdr:rowOff>560294</xdr:rowOff>
    </xdr:from>
    <xdr:to>
      <xdr:col>9</xdr:col>
      <xdr:colOff>1643529</xdr:colOff>
      <xdr:row>0</xdr:row>
      <xdr:rowOff>993590</xdr:rowOff>
    </xdr:to>
    <xdr:sp macro="" textlink="">
      <xdr:nvSpPr>
        <xdr:cNvPr id="6" name="Felirat: íves vonal 9">
          <a:extLst>
            <a:ext uri="{FF2B5EF4-FFF2-40B4-BE49-F238E27FC236}">
              <a16:creationId xmlns:a16="http://schemas.microsoft.com/office/drawing/2014/main" id="{2204DD74-5151-4AEA-A56B-6C38E6DDE307}"/>
            </a:ext>
          </a:extLst>
        </xdr:cNvPr>
        <xdr:cNvSpPr/>
      </xdr:nvSpPr>
      <xdr:spPr>
        <a:xfrm>
          <a:off x="9965764" y="560294"/>
          <a:ext cx="2696883" cy="433296"/>
        </a:xfrm>
        <a:prstGeom prst="borderCallout2">
          <a:avLst>
            <a:gd name="adj1" fmla="val 56250"/>
            <a:gd name="adj2" fmla="val -982"/>
            <a:gd name="adj3" fmla="val 105430"/>
            <a:gd name="adj4" fmla="val -4172"/>
            <a:gd name="adj5" fmla="val 110744"/>
            <a:gd name="adj6" fmla="val -31706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Az új oszlop (Felár mértéke (%)) a 2024. évi kitöltési útmutató alapján töltendő.</a:t>
          </a:r>
        </a:p>
      </xdr:txBody>
    </xdr:sp>
    <xdr:clientData/>
  </xdr:twoCellAnchor>
  <xdr:twoCellAnchor>
    <xdr:from>
      <xdr:col>5</xdr:col>
      <xdr:colOff>903942</xdr:colOff>
      <xdr:row>0</xdr:row>
      <xdr:rowOff>7471</xdr:rowOff>
    </xdr:from>
    <xdr:to>
      <xdr:col>8</xdr:col>
      <xdr:colOff>575237</xdr:colOff>
      <xdr:row>0</xdr:row>
      <xdr:rowOff>1001059</xdr:rowOff>
    </xdr:to>
    <xdr:sp macro="" textlink="">
      <xdr:nvSpPr>
        <xdr:cNvPr id="7" name="Felirat: íves vonal 9">
          <a:extLst>
            <a:ext uri="{FF2B5EF4-FFF2-40B4-BE49-F238E27FC236}">
              <a16:creationId xmlns:a16="http://schemas.microsoft.com/office/drawing/2014/main" id="{D3D3CB72-0251-4E1C-9BB2-65497A59659D}"/>
            </a:ext>
          </a:extLst>
        </xdr:cNvPr>
        <xdr:cNvSpPr/>
      </xdr:nvSpPr>
      <xdr:spPr>
        <a:xfrm>
          <a:off x="6999942" y="7471"/>
          <a:ext cx="2734236" cy="993588"/>
        </a:xfrm>
        <a:prstGeom prst="borderCallout2">
          <a:avLst>
            <a:gd name="adj1" fmla="val 56250"/>
            <a:gd name="adj2" fmla="val -982"/>
            <a:gd name="adj3" fmla="val 56250"/>
            <a:gd name="adj4" fmla="val -17191"/>
            <a:gd name="adj5" fmla="val 110744"/>
            <a:gd name="adj6" fmla="val -297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Az "Átárazódási periódus (eredeti)" oszlopban fix kamatozás esetén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az ügylet eredeti futamidejét kell megadni (pl. ha az eredeti futamidő 10 év, a hátralévő futamidő pedig már csak 5 év, akkor is "10Y" kódértéket kell jelenteni).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1531471</xdr:colOff>
      <xdr:row>1</xdr:row>
      <xdr:rowOff>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78847753-AA02-496F-9407-E3335853D06D}"/>
            </a:ext>
          </a:extLst>
        </xdr:cNvPr>
        <xdr:cNvSpPr txBox="1"/>
      </xdr:nvSpPr>
      <xdr:spPr>
        <a:xfrm>
          <a:off x="28575" y="38100"/>
          <a:ext cx="11132484" cy="25168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</a:t>
          </a:r>
          <a:r>
            <a:rPr lang="hu-HU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példa: Lakossági</a:t>
          </a:r>
          <a:r>
            <a:rPr lang="hu-HU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látra szóló betétállomány (modellezett)</a:t>
          </a:r>
          <a:b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olyan instrumentumoknál, ahol az adatszolgáltatónak lehetősége van egyoldalúan megváltoztatni a kamatot, szerződéses tekintetben a legkorábbi ilyen időpont tekintendő az első átárazódás időpontjának, és a továbbiakban a változó kamatozású instrumentumoknál ismertetett módon kell eljárni. Azokat a tételeket, melyekhez átárazási periódust a szerződés nem köt ki, és az adatszolgáltató a kamatmozgásoknak megfelelően szabadon változtathatja a kamatlábat, az 1-30 napos</a:t>
          </a:r>
          <a:r>
            <a:rPr lang="hu-HU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lejárati sávba 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kell besorolni.</a:t>
          </a:r>
          <a:endParaRPr lang="hu-HU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modellezett állomány a m</a:t>
          </a:r>
          <a:r>
            <a:rPr lang="hu-HU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odellezett pénzáramlások/átárazódások oszlopban, külön tőke- és külön kamatösszeggel, míg a nem modellezett állomány a szerződés szerinti pénzáramlás/átárazódás összegénél (csak tőkeösszeg) kerüljön feltüntetésre.</a:t>
          </a:r>
          <a:b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lejárat nélküli betétek esetén megkül</a:t>
          </a:r>
          <a:r>
            <a:rPr lang="hu-HU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ö</a:t>
          </a:r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nböztetendőek a lakossági, vállalati, hitelintézeti és egyéb ügyfelektől származó betétek (ld. termékkódok).</a:t>
          </a:r>
        </a:p>
        <a:p>
          <a:endParaRPr lang="hu-HU" sz="11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Az alábbi példa esetén feltettük, hogy egy bank rendelkezik 150M HUF lakossági látra szóló betétállománnyal, amelyből 50M non-core, azaz gyors átárazódású (pl. alapkamathoz kötött betétek), míg 100M HUF core állománynak tekinthető, így a bank által modellezett.</a:t>
          </a:r>
        </a:p>
        <a:p>
          <a:r>
            <a:rPr lang="hu-HU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Mivel a bankok eltérő módszertannal és granularitással modellezik látra szóló betétállományukat, ezért a "Modellezett pénzáramlás (átárazódás) összege" oszlopban szereplő értékek részletes levezése nem kerül bemutatásra, mivel az nem lenne tekinthető egy követendő eljárásnak. Minden bank a saját modellezési módszertanát hivatott használni. A modellezett állományokra kamat cash flow-t is szükséges számolni, és eredményét feltüntetni a táblázatban.</a:t>
          </a:r>
          <a:endParaRPr lang="hu-HU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498549</xdr:colOff>
      <xdr:row>6</xdr:row>
      <xdr:rowOff>162597</xdr:rowOff>
    </xdr:from>
    <xdr:to>
      <xdr:col>10</xdr:col>
      <xdr:colOff>308274</xdr:colOff>
      <xdr:row>12</xdr:row>
      <xdr:rowOff>80346</xdr:rowOff>
    </xdr:to>
    <xdr:sp macro="" textlink="">
      <xdr:nvSpPr>
        <xdr:cNvPr id="4" name="Felirat: íves vonal 9">
          <a:extLst>
            <a:ext uri="{FF2B5EF4-FFF2-40B4-BE49-F238E27FC236}">
              <a16:creationId xmlns:a16="http://schemas.microsoft.com/office/drawing/2014/main" id="{20F42C32-1845-47D5-826A-412378B718B4}"/>
            </a:ext>
          </a:extLst>
        </xdr:cNvPr>
        <xdr:cNvSpPr/>
      </xdr:nvSpPr>
      <xdr:spPr>
        <a:xfrm>
          <a:off x="11536343" y="4073450"/>
          <a:ext cx="2196578" cy="926278"/>
        </a:xfrm>
        <a:prstGeom prst="borderCallout2">
          <a:avLst>
            <a:gd name="adj1" fmla="val 53548"/>
            <a:gd name="adj2" fmla="val -1994"/>
            <a:gd name="adj3" fmla="val 50845"/>
            <a:gd name="adj4" fmla="val -16858"/>
            <a:gd name="adj5" fmla="val -38508"/>
            <a:gd name="adj6" fmla="val -2968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0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Ebbe a lejárati sávba kerül az 50M non-core állomány is, amely tulajdonképpen ON-ként van "modellezve".</a:t>
          </a:r>
          <a:endParaRPr lang="hu-HU" sz="10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1501589</xdr:colOff>
      <xdr:row>0</xdr:row>
      <xdr:rowOff>2091765</xdr:rowOff>
    </xdr:from>
    <xdr:to>
      <xdr:col>10</xdr:col>
      <xdr:colOff>171825</xdr:colOff>
      <xdr:row>0</xdr:row>
      <xdr:rowOff>2502647</xdr:rowOff>
    </xdr:to>
    <xdr:sp macro="" textlink="">
      <xdr:nvSpPr>
        <xdr:cNvPr id="6" name="Felirat: íves vonal 9">
          <a:extLst>
            <a:ext uri="{FF2B5EF4-FFF2-40B4-BE49-F238E27FC236}">
              <a16:creationId xmlns:a16="http://schemas.microsoft.com/office/drawing/2014/main" id="{58C981FF-4734-475D-BC5B-B268F44A84E2}"/>
            </a:ext>
          </a:extLst>
        </xdr:cNvPr>
        <xdr:cNvSpPr/>
      </xdr:nvSpPr>
      <xdr:spPr>
        <a:xfrm>
          <a:off x="11131177" y="2091765"/>
          <a:ext cx="2696883" cy="410882"/>
        </a:xfrm>
        <a:prstGeom prst="borderCallout2">
          <a:avLst>
            <a:gd name="adj1" fmla="val 56250"/>
            <a:gd name="adj2" fmla="val -982"/>
            <a:gd name="adj3" fmla="val 56250"/>
            <a:gd name="adj4" fmla="val -17191"/>
            <a:gd name="adj5" fmla="val 109105"/>
            <a:gd name="adj6" fmla="val -58576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Az új oszlop (Felár mértéke (%)) a 2024. évi kitöltési útmutató alapján töltendő.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38101</xdr:rowOff>
    </xdr:from>
    <xdr:to>
      <xdr:col>6</xdr:col>
      <xdr:colOff>1053353</xdr:colOff>
      <xdr:row>0</xdr:row>
      <xdr:rowOff>628651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8731F557-9C2E-4BAC-A884-26B7AAFC2F8F}"/>
            </a:ext>
          </a:extLst>
        </xdr:cNvPr>
        <xdr:cNvSpPr txBox="1"/>
      </xdr:nvSpPr>
      <xdr:spPr>
        <a:xfrm>
          <a:off x="1" y="38101"/>
          <a:ext cx="7418293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5. példa: IRS ügylet</a:t>
          </a:r>
          <a:br>
            <a:rPr lang="hu-HU" sz="1100">
              <a:latin typeface="Arial" panose="020B0604020202020204" pitchFamily="34" charset="0"/>
              <a:cs typeface="Arial" panose="020B0604020202020204" pitchFamily="34" charset="0"/>
            </a:rPr>
          </a:b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100">
              <a:latin typeface="Arial" panose="020B0604020202020204" pitchFamily="34" charset="0"/>
              <a:cs typeface="Arial" panose="020B0604020202020204" pitchFamily="34" charset="0"/>
            </a:rPr>
            <a:t>A derivatívákat követelés és kötelezettség lábakra kell bontani, és ennek megfelelően</a:t>
          </a: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 szerepeltetni a táblázatban.</a:t>
          </a: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141942</xdr:colOff>
      <xdr:row>0</xdr:row>
      <xdr:rowOff>194235</xdr:rowOff>
    </xdr:from>
    <xdr:to>
      <xdr:col>9</xdr:col>
      <xdr:colOff>1172884</xdr:colOff>
      <xdr:row>0</xdr:row>
      <xdr:rowOff>590176</xdr:rowOff>
    </xdr:to>
    <xdr:sp macro="" textlink="">
      <xdr:nvSpPr>
        <xdr:cNvPr id="5" name="Felirat: íves vonal 9">
          <a:extLst>
            <a:ext uri="{FF2B5EF4-FFF2-40B4-BE49-F238E27FC236}">
              <a16:creationId xmlns:a16="http://schemas.microsoft.com/office/drawing/2014/main" id="{19E6B306-3CA0-4114-B30C-9E2848759234}"/>
            </a:ext>
          </a:extLst>
        </xdr:cNvPr>
        <xdr:cNvSpPr/>
      </xdr:nvSpPr>
      <xdr:spPr>
        <a:xfrm>
          <a:off x="8628530" y="194235"/>
          <a:ext cx="2808942" cy="395941"/>
        </a:xfrm>
        <a:prstGeom prst="borderCallout2">
          <a:avLst>
            <a:gd name="adj1" fmla="val 56250"/>
            <a:gd name="adj2" fmla="val -982"/>
            <a:gd name="adj3" fmla="val 56250"/>
            <a:gd name="adj4" fmla="val -7520"/>
            <a:gd name="adj5" fmla="val 104150"/>
            <a:gd name="adj6" fmla="val -16232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Az új oszlop (Felár mértéke (%)) a 2024. évi kitöltési útmutató alapján töltendő.</a:t>
          </a:r>
        </a:p>
      </xdr:txBody>
    </xdr:sp>
    <xdr:clientData/>
  </xdr:twoCellAnchor>
  <xdr:twoCellAnchor>
    <xdr:from>
      <xdr:col>6</xdr:col>
      <xdr:colOff>394448</xdr:colOff>
      <xdr:row>11</xdr:row>
      <xdr:rowOff>53788</xdr:rowOff>
    </xdr:from>
    <xdr:to>
      <xdr:col>8</xdr:col>
      <xdr:colOff>1470212</xdr:colOff>
      <xdr:row>25</xdr:row>
      <xdr:rowOff>44823</xdr:rowOff>
    </xdr:to>
    <xdr:sp macro="" textlink="">
      <xdr:nvSpPr>
        <xdr:cNvPr id="4" name="Felirat: vonal 3">
          <a:extLst>
            <a:ext uri="{FF2B5EF4-FFF2-40B4-BE49-F238E27FC236}">
              <a16:creationId xmlns:a16="http://schemas.microsoft.com/office/drawing/2014/main" id="{C677B92D-A019-2C61-32F7-F041FE8BB9B8}"/>
            </a:ext>
          </a:extLst>
        </xdr:cNvPr>
        <xdr:cNvSpPr/>
      </xdr:nvSpPr>
      <xdr:spPr>
        <a:xfrm>
          <a:off x="6642848" y="2788023"/>
          <a:ext cx="3155576" cy="2402541"/>
        </a:xfrm>
        <a:prstGeom prst="borderCallout1">
          <a:avLst>
            <a:gd name="adj1" fmla="val 56810"/>
            <a:gd name="adj2" fmla="val -663"/>
            <a:gd name="adj3" fmla="val -77425"/>
            <a:gd name="adj4" fmla="val -12481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hu-HU" sz="105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Megj.: Az "Átárazódási periódus (eredeti)" oszlopban:</a:t>
          </a:r>
          <a:endParaRPr lang="hu-HU" sz="105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05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fix kamatozás </a:t>
          </a:r>
          <a:r>
            <a:rPr lang="hu-HU" sz="105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esetén</a:t>
          </a:r>
          <a:r>
            <a:rPr lang="hu-HU" sz="105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az ügylet eredeti futamidejét kell megadni (pl. ha az eredeti futamidő 10 év, a hátralévő futamidő pedig már csak 5 év, akkor is "10Y" kódértéket kell jelenteni),</a:t>
          </a:r>
          <a:endParaRPr lang="hu-HU" sz="105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05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változó kamatozású </a:t>
          </a:r>
          <a:r>
            <a:rPr lang="hu-HU" sz="105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instrumentumok esetében a</a:t>
          </a:r>
          <a:r>
            <a:rPr lang="hu-HU" sz="105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termék </a:t>
          </a:r>
          <a:r>
            <a:rPr lang="hu-HU" sz="105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árazásának alapjául szolgáló mutatónak, referencia kamatlábnak (pl. BUBOR, EURIBOR) a fixing ideje, futamideje (pl.: ha a kamatbázis a 3M BUBOR, akkor  "3M" kódértéket kell megadni).</a:t>
          </a:r>
          <a:endParaRPr lang="hu-H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47624</xdr:rowOff>
    </xdr:from>
    <xdr:to>
      <xdr:col>7</xdr:col>
      <xdr:colOff>986118</xdr:colOff>
      <xdr:row>0</xdr:row>
      <xdr:rowOff>1190625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A79A3D50-37D6-4245-BED4-174D706B5F50}"/>
            </a:ext>
          </a:extLst>
        </xdr:cNvPr>
        <xdr:cNvSpPr txBox="1"/>
      </xdr:nvSpPr>
      <xdr:spPr>
        <a:xfrm>
          <a:off x="1" y="47624"/>
          <a:ext cx="8381999" cy="1143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  <a:r>
            <a:rPr lang="hu-HU" sz="1100" b="1">
              <a:latin typeface="Arial" panose="020B0604020202020204" pitchFamily="34" charset="0"/>
              <a:cs typeface="Arial" panose="020B0604020202020204" pitchFamily="34" charset="0"/>
            </a:rPr>
            <a:t>. példa: CCIRS ügylet</a:t>
          </a:r>
          <a:r>
            <a:rPr lang="hu-HU" sz="1100" b="1" baseline="0">
              <a:latin typeface="Arial" panose="020B0604020202020204" pitchFamily="34" charset="0"/>
              <a:cs typeface="Arial" panose="020B0604020202020204" pitchFamily="34" charset="0"/>
            </a:rPr>
            <a:t> (bázis swap)</a:t>
          </a:r>
          <a:br>
            <a:rPr lang="hu-HU" sz="1100">
              <a:latin typeface="Arial" panose="020B0604020202020204" pitchFamily="34" charset="0"/>
              <a:cs typeface="Arial" panose="020B0604020202020204" pitchFamily="34" charset="0"/>
            </a:rPr>
          </a:b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hu-HU" sz="1100">
              <a:latin typeface="Arial" panose="020B0604020202020204" pitchFamily="34" charset="0"/>
              <a:cs typeface="Arial" panose="020B0604020202020204" pitchFamily="34" charset="0"/>
            </a:rPr>
            <a:t>A derivatívákat követelés és kötelezettség lábakra kell bontani, és ennek megfelelően</a:t>
          </a: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 szerepeltetni a táblázatban.</a:t>
          </a:r>
          <a:b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A példában szerplő CCIRS ügylet egy bézis swap: két változó kamat kerül cserére. Ezen ügyleteknél tényleges névérték-csere történik, így ezt is szerepeltetni kell. A változó lábaknál a fennálló tőkeösszeget a következő átárazódás időpontjánál kell feltüntetni.</a:t>
          </a:r>
          <a:b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hu-HU" sz="1100" baseline="0">
              <a:latin typeface="Arial" panose="020B0604020202020204" pitchFamily="34" charset="0"/>
              <a:cs typeface="Arial" panose="020B0604020202020204" pitchFamily="34" charset="0"/>
            </a:rPr>
            <a:t>Fontos, hogy adott napi MNB középárfolyamon forintosított, előjeles összegek kerüljenek feltüntetésre a táblázat megfelelő soraiban.</a:t>
          </a:r>
          <a:endParaRPr lang="hu-H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809626</xdr:colOff>
      <xdr:row>22</xdr:row>
      <xdr:rowOff>75640</xdr:rowOff>
    </xdr:from>
    <xdr:to>
      <xdr:col>6</xdr:col>
      <xdr:colOff>717176</xdr:colOff>
      <xdr:row>25</xdr:row>
      <xdr:rowOff>8965</xdr:rowOff>
    </xdr:to>
    <xdr:sp macro="" textlink="">
      <xdr:nvSpPr>
        <xdr:cNvPr id="3" name="Felirat: íves vonal 2">
          <a:extLst>
            <a:ext uri="{FF2B5EF4-FFF2-40B4-BE49-F238E27FC236}">
              <a16:creationId xmlns:a16="http://schemas.microsoft.com/office/drawing/2014/main" id="{627ABBA2-6779-4237-8E7F-6FDBDB7877C4}"/>
            </a:ext>
          </a:extLst>
        </xdr:cNvPr>
        <xdr:cNvSpPr/>
      </xdr:nvSpPr>
      <xdr:spPr>
        <a:xfrm>
          <a:off x="3969685" y="5039846"/>
          <a:ext cx="2854697" cy="426384"/>
        </a:xfrm>
        <a:prstGeom prst="borderCallout2">
          <a:avLst>
            <a:gd name="adj1" fmla="val 29659"/>
            <a:gd name="adj2" fmla="val -5061"/>
            <a:gd name="adj3" fmla="val 30196"/>
            <a:gd name="adj4" fmla="val -24329"/>
            <a:gd name="adj5" fmla="val 145278"/>
            <a:gd name="adj6" fmla="val -4251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1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</a:t>
          </a:r>
          <a:r>
            <a:rPr lang="hu-HU" sz="110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Ezek már szintén csak a kamatfelár komponensek.</a:t>
          </a:r>
          <a:endParaRPr lang="hu-HU" sz="110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672353</xdr:colOff>
      <xdr:row>0</xdr:row>
      <xdr:rowOff>791882</xdr:rowOff>
    </xdr:from>
    <xdr:to>
      <xdr:col>9</xdr:col>
      <xdr:colOff>1553883</xdr:colOff>
      <xdr:row>0</xdr:row>
      <xdr:rowOff>1180354</xdr:rowOff>
    </xdr:to>
    <xdr:sp macro="" textlink="">
      <xdr:nvSpPr>
        <xdr:cNvPr id="6" name="Felirat: íves vonal 9">
          <a:extLst>
            <a:ext uri="{FF2B5EF4-FFF2-40B4-BE49-F238E27FC236}">
              <a16:creationId xmlns:a16="http://schemas.microsoft.com/office/drawing/2014/main" id="{13544E9F-B575-406C-947D-06AC66256A76}"/>
            </a:ext>
          </a:extLst>
        </xdr:cNvPr>
        <xdr:cNvSpPr/>
      </xdr:nvSpPr>
      <xdr:spPr>
        <a:xfrm>
          <a:off x="9061824" y="791882"/>
          <a:ext cx="2696883" cy="388472"/>
        </a:xfrm>
        <a:prstGeom prst="borderCallout2">
          <a:avLst>
            <a:gd name="adj1" fmla="val 56250"/>
            <a:gd name="adj2" fmla="val -982"/>
            <a:gd name="adj3" fmla="val 56250"/>
            <a:gd name="adj4" fmla="val -17191"/>
            <a:gd name="adj5" fmla="val 110744"/>
            <a:gd name="adj6" fmla="val -31706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u-HU" sz="1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Megj.: Az új oszlop (Felár mértéke (%)) a 2024. évi kitöltési útmutató alapján töltendő.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9"/>
  <sheetViews>
    <sheetView tabSelected="1" workbookViewId="0">
      <selection sqref="A1:D2"/>
    </sheetView>
  </sheetViews>
  <sheetFormatPr defaultColWidth="9.109375" defaultRowHeight="13.2" x14ac:dyDescent="0.25"/>
  <cols>
    <col min="1" max="1" width="36.44140625" style="23" customWidth="1"/>
    <col min="2" max="3" width="9.109375" style="23"/>
    <col min="4" max="4" width="26" style="23" customWidth="1"/>
    <col min="5" max="16384" width="9.109375" style="23"/>
  </cols>
  <sheetData>
    <row r="1" spans="1:4" ht="23.25" customHeight="1" x14ac:dyDescent="0.25">
      <c r="A1" s="234" t="s">
        <v>81</v>
      </c>
      <c r="B1" s="234"/>
      <c r="C1" s="234"/>
      <c r="D1" s="234"/>
    </row>
    <row r="2" spans="1:4" ht="23.25" customHeight="1" x14ac:dyDescent="0.25">
      <c r="A2" s="234"/>
      <c r="B2" s="234"/>
      <c r="C2" s="234"/>
      <c r="D2" s="234"/>
    </row>
    <row r="3" spans="1:4" ht="22.5" customHeight="1" x14ac:dyDescent="0.25">
      <c r="A3" s="235" t="s">
        <v>128</v>
      </c>
      <c r="B3" s="235"/>
      <c r="C3" s="235"/>
      <c r="D3" s="235"/>
    </row>
    <row r="4" spans="1:4" ht="22.5" customHeight="1" x14ac:dyDescent="0.25">
      <c r="A4" s="235" t="s">
        <v>80</v>
      </c>
      <c r="B4" s="235"/>
      <c r="C4" s="235"/>
      <c r="D4" s="235"/>
    </row>
    <row r="5" spans="1:4" ht="22.5" customHeight="1" x14ac:dyDescent="0.25">
      <c r="A5" s="235" t="s">
        <v>119</v>
      </c>
      <c r="B5" s="235"/>
      <c r="C5" s="235"/>
      <c r="D5" s="235"/>
    </row>
    <row r="6" spans="1:4" ht="22.5" customHeight="1" x14ac:dyDescent="0.25">
      <c r="A6" s="235" t="s">
        <v>120</v>
      </c>
      <c r="B6" s="235"/>
      <c r="C6" s="235"/>
      <c r="D6" s="235"/>
    </row>
    <row r="7" spans="1:4" ht="22.5" customHeight="1" x14ac:dyDescent="0.25">
      <c r="A7" s="235" t="s">
        <v>118</v>
      </c>
      <c r="B7" s="235"/>
      <c r="C7" s="235"/>
      <c r="D7" s="235"/>
    </row>
    <row r="8" spans="1:4" ht="22.5" customHeight="1" x14ac:dyDescent="0.25">
      <c r="A8" s="235" t="s">
        <v>126</v>
      </c>
      <c r="B8" s="235"/>
      <c r="C8" s="235"/>
      <c r="D8" s="235"/>
    </row>
    <row r="9" spans="1:4" ht="22.5" customHeight="1" x14ac:dyDescent="0.25">
      <c r="A9" s="235" t="s">
        <v>127</v>
      </c>
      <c r="B9" s="235"/>
      <c r="C9" s="235"/>
      <c r="D9" s="235"/>
    </row>
  </sheetData>
  <mergeCells count="8">
    <mergeCell ref="A1:D2"/>
    <mergeCell ref="A7:D7"/>
    <mergeCell ref="A8:D8"/>
    <mergeCell ref="A9:D9"/>
    <mergeCell ref="A3:D3"/>
    <mergeCell ref="A4:D4"/>
    <mergeCell ref="A5:D5"/>
    <mergeCell ref="A6:D6"/>
  </mergeCells>
  <hyperlinks>
    <hyperlink ref="A4" location="'1_corp_loan'!A1" display="1. példa: Vállalati hitel" xr:uid="{00000000-0004-0000-0000-000000000000}"/>
    <hyperlink ref="A5" location="'2_mortg_prep'!A1" display="2. példa: Lakossági jelzáloghitel, előtörlesztési modellezéssel" xr:uid="{00000000-0004-0000-0000-000001000000}"/>
    <hyperlink ref="A7" location="'3_retail_nmd'!A1" display="3. példa: Modellezett látra szóló betét (lakossági)" xr:uid="{00000000-0004-0000-0000-000002000000}"/>
    <hyperlink ref="A3" location="'9R1'!A1" display="9R1 tábla felépítése" xr:uid="{00000000-0004-0000-0000-000003000000}"/>
    <hyperlink ref="A6" location="'2_mortg_prep'!A1" display="2. példa: Lakossági jelzáloghitel, előtörlesztési modellezéssel" xr:uid="{00000000-0004-0000-0000-000004000000}"/>
    <hyperlink ref="A6:D6" location="'3_mortg_prep'!A1" display="3. példa: Lakossági fix jelzáloghitel, előtörlesztési modellezéssel" xr:uid="{00000000-0004-0000-0000-000005000000}"/>
    <hyperlink ref="A7:D7" location="'4_retail_nmd'!A1" display="4. példa: Modellezett látra szóló betét (lakossági)" xr:uid="{00000000-0004-0000-0000-000006000000}"/>
    <hyperlink ref="A9:D9" location="'6_CCIRS'!A1" display="6. példa: CCIRS" xr:uid="{00000000-0004-0000-0000-000007000000}"/>
    <hyperlink ref="A8:D8" location="'5_IRS'!A1" display="5. példa: Kamatcsereügylet" xr:uid="{00000000-0004-0000-0000-000008000000}"/>
    <hyperlink ref="A5:D5" location="'2_mortg_float'!A1" display="2. példa: Lakossági jelzáloghitel, 5 éves kamatperiódus" xr:uid="{00000000-0004-0000-0000-000009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M22"/>
  <sheetViews>
    <sheetView zoomScale="85" zoomScaleNormal="85" workbookViewId="0">
      <selection activeCell="I14" sqref="I14"/>
    </sheetView>
  </sheetViews>
  <sheetFormatPr defaultColWidth="9.109375" defaultRowHeight="13.2" x14ac:dyDescent="0.25"/>
  <cols>
    <col min="1" max="1" width="9.44140625" style="1" bestFit="1" customWidth="1"/>
    <col min="2" max="2" width="11.88671875" style="1" customWidth="1"/>
    <col min="3" max="3" width="13.109375" style="1" bestFit="1" customWidth="1"/>
    <col min="4" max="4" width="11.33203125" style="1" bestFit="1" customWidth="1"/>
    <col min="5" max="5" width="12.109375" style="1" bestFit="1" customWidth="1"/>
    <col min="6" max="6" width="17.88671875" style="1" bestFit="1" customWidth="1"/>
    <col min="7" max="7" width="20.109375" style="1" customWidth="1"/>
    <col min="8" max="10" width="16" style="1" customWidth="1"/>
    <col min="11" max="11" width="24" style="1" customWidth="1"/>
    <col min="12" max="12" width="28.21875" style="1" customWidth="1"/>
    <col min="13" max="13" width="32.21875" style="1" customWidth="1"/>
    <col min="14" max="14" width="6.109375" style="1" customWidth="1"/>
    <col min="15" max="16384" width="9.109375" style="1"/>
  </cols>
  <sheetData>
    <row r="1" spans="1:13" x14ac:dyDescent="0.25">
      <c r="A1" s="238" t="s">
        <v>20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1:13" x14ac:dyDescent="0.25">
      <c r="A2" s="239" t="s">
        <v>141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4.4" thickBot="1" x14ac:dyDescent="0.35">
      <c r="A3" s="162"/>
      <c r="B3" s="162"/>
      <c r="C3" s="162"/>
      <c r="D3" s="161"/>
      <c r="E3" s="161"/>
      <c r="F3" s="161"/>
      <c r="G3" s="161"/>
      <c r="H3" s="161"/>
      <c r="I3" s="161"/>
      <c r="J3" s="161"/>
      <c r="K3" s="161"/>
      <c r="L3" s="161"/>
      <c r="M3" s="160" t="s">
        <v>19</v>
      </c>
    </row>
    <row r="4" spans="1:13" ht="40.799999999999997" thickTop="1" thickBot="1" x14ac:dyDescent="0.3">
      <c r="A4" s="240" t="s">
        <v>140</v>
      </c>
      <c r="B4" s="240" t="s">
        <v>18</v>
      </c>
      <c r="C4" s="240" t="s">
        <v>17</v>
      </c>
      <c r="D4" s="159" t="s">
        <v>16</v>
      </c>
      <c r="E4" s="159" t="s">
        <v>15</v>
      </c>
      <c r="F4" s="159" t="s">
        <v>14</v>
      </c>
      <c r="G4" s="159" t="s">
        <v>13</v>
      </c>
      <c r="H4" s="159" t="s">
        <v>12</v>
      </c>
      <c r="I4" s="159" t="s">
        <v>131</v>
      </c>
      <c r="J4" s="159" t="s">
        <v>132</v>
      </c>
      <c r="K4" s="233" t="s">
        <v>139</v>
      </c>
      <c r="L4" s="159" t="s">
        <v>11</v>
      </c>
      <c r="M4" s="159" t="s">
        <v>10</v>
      </c>
    </row>
    <row r="5" spans="1:13" ht="14.4" thickTop="1" thickBot="1" x14ac:dyDescent="0.3">
      <c r="A5" s="240"/>
      <c r="B5" s="240"/>
      <c r="C5" s="240"/>
      <c r="D5" s="159">
        <v>1</v>
      </c>
      <c r="E5" s="159">
        <v>2</v>
      </c>
      <c r="F5" s="159">
        <v>3</v>
      </c>
      <c r="G5" s="159">
        <v>4</v>
      </c>
      <c r="H5" s="159">
        <v>5</v>
      </c>
      <c r="I5" s="159" t="s">
        <v>138</v>
      </c>
      <c r="J5" s="159" t="s">
        <v>137</v>
      </c>
      <c r="K5" s="233">
        <v>8</v>
      </c>
      <c r="L5" s="159">
        <v>9</v>
      </c>
      <c r="M5" s="159">
        <v>10</v>
      </c>
    </row>
    <row r="6" spans="1:13" ht="14.4" thickTop="1" thickBot="1" x14ac:dyDescent="0.3">
      <c r="A6" s="240"/>
      <c r="B6" s="240"/>
      <c r="C6" s="240"/>
      <c r="D6" s="158" t="s">
        <v>9</v>
      </c>
      <c r="E6" s="158" t="s">
        <v>8</v>
      </c>
      <c r="F6" s="158" t="s">
        <v>7</v>
      </c>
      <c r="G6" s="158" t="s">
        <v>6</v>
      </c>
      <c r="H6" s="158" t="s">
        <v>5</v>
      </c>
      <c r="I6" s="158" t="s">
        <v>4</v>
      </c>
      <c r="J6" s="158" t="s">
        <v>3</v>
      </c>
      <c r="K6" s="158" t="s">
        <v>2</v>
      </c>
      <c r="L6" s="158" t="s">
        <v>133</v>
      </c>
      <c r="M6" s="158" t="s">
        <v>134</v>
      </c>
    </row>
    <row r="7" spans="1:13" ht="14.4" thickTop="1" x14ac:dyDescent="0.25">
      <c r="A7" s="157" t="s">
        <v>136</v>
      </c>
      <c r="B7" s="156" t="s">
        <v>1</v>
      </c>
      <c r="C7" s="155"/>
      <c r="D7" s="163"/>
      <c r="E7" s="170"/>
      <c r="F7" s="170"/>
      <c r="G7" s="170"/>
      <c r="H7" s="170"/>
      <c r="I7" s="170"/>
      <c r="J7" s="173"/>
      <c r="K7" s="173"/>
      <c r="L7" s="174"/>
      <c r="M7" s="177"/>
    </row>
    <row r="8" spans="1:13" ht="13.8" x14ac:dyDescent="0.25">
      <c r="A8" s="154" t="s">
        <v>135</v>
      </c>
      <c r="B8" s="153" t="s">
        <v>135</v>
      </c>
      <c r="C8" s="152"/>
      <c r="D8" s="164"/>
      <c r="E8" s="171"/>
      <c r="F8" s="171"/>
      <c r="G8" s="171"/>
      <c r="H8" s="171"/>
      <c r="I8" s="171"/>
      <c r="J8" s="143"/>
      <c r="K8" s="143"/>
      <c r="L8" s="14"/>
      <c r="M8" s="178"/>
    </row>
    <row r="9" spans="1:13" ht="14.4" thickBot="1" x14ac:dyDescent="0.3">
      <c r="A9" s="151"/>
      <c r="B9" s="150" t="s">
        <v>0</v>
      </c>
      <c r="C9" s="149"/>
      <c r="D9" s="165"/>
      <c r="E9" s="172"/>
      <c r="F9" s="172"/>
      <c r="G9" s="172"/>
      <c r="H9" s="172"/>
      <c r="I9" s="172"/>
      <c r="J9" s="175"/>
      <c r="K9" s="175"/>
      <c r="L9" s="176"/>
      <c r="M9" s="179"/>
    </row>
    <row r="10" spans="1:13" ht="15" thickTop="1" thickBot="1" x14ac:dyDescent="0.35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</row>
    <row r="11" spans="1:13" ht="15" thickTop="1" thickBot="1" x14ac:dyDescent="0.35">
      <c r="B11" s="236" t="s">
        <v>31</v>
      </c>
      <c r="C11" s="237"/>
      <c r="D11" s="148"/>
      <c r="E11" s="148"/>
      <c r="F11" s="148"/>
      <c r="G11" s="148"/>
      <c r="H11" s="148"/>
      <c r="I11" s="148"/>
      <c r="J11" s="148"/>
      <c r="K11" s="148"/>
      <c r="L11" s="148"/>
      <c r="M11" s="148"/>
    </row>
    <row r="12" spans="1:13" ht="14.4" thickTop="1" x14ac:dyDescent="0.3">
      <c r="B12" s="13"/>
      <c r="C12" s="4" t="s">
        <v>30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13.8" x14ac:dyDescent="0.3">
      <c r="B13" s="12"/>
      <c r="C13" s="4" t="s">
        <v>29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 ht="26.4" x14ac:dyDescent="0.3">
      <c r="B14" s="11"/>
      <c r="C14" s="4" t="s">
        <v>28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26.4" x14ac:dyDescent="0.3">
      <c r="B15" s="10"/>
      <c r="C15" s="4" t="s">
        <v>27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 ht="13.8" x14ac:dyDescent="0.3">
      <c r="B16" s="9"/>
      <c r="C16" s="4" t="s">
        <v>26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 ht="13.8" x14ac:dyDescent="0.3">
      <c r="B17" s="8"/>
      <c r="C17" s="4" t="s">
        <v>25</v>
      </c>
      <c r="D17" s="148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13.8" x14ac:dyDescent="0.3">
      <c r="B18" s="7"/>
      <c r="C18" s="4" t="s">
        <v>24</v>
      </c>
      <c r="D18" s="148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 ht="13.8" x14ac:dyDescent="0.3">
      <c r="B19" s="6"/>
      <c r="C19" s="4" t="s">
        <v>23</v>
      </c>
      <c r="D19" s="148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 ht="26.4" x14ac:dyDescent="0.3">
      <c r="B20" s="5"/>
      <c r="C20" s="4" t="s">
        <v>22</v>
      </c>
      <c r="D20" s="148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27" thickBot="1" x14ac:dyDescent="0.35">
      <c r="B21" s="3"/>
      <c r="C21" s="2" t="s">
        <v>21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4.4" thickTop="1" x14ac:dyDescent="0.3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</row>
  </sheetData>
  <mergeCells count="6">
    <mergeCell ref="B11:C11"/>
    <mergeCell ref="A1:M1"/>
    <mergeCell ref="A2:M2"/>
    <mergeCell ref="A4:A6"/>
    <mergeCell ref="B4:B6"/>
    <mergeCell ref="C4:C6"/>
  </mergeCells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76"/>
  <sheetViews>
    <sheetView zoomScale="85" zoomScaleNormal="85" workbookViewId="0">
      <selection activeCell="E16" sqref="E16"/>
    </sheetView>
  </sheetViews>
  <sheetFormatPr defaultColWidth="9.109375" defaultRowHeight="13.2" x14ac:dyDescent="0.25"/>
  <cols>
    <col min="1" max="1" width="17.109375" style="23" customWidth="1"/>
    <col min="2" max="2" width="21.44140625" style="23" bestFit="1" customWidth="1"/>
    <col min="3" max="3" width="24.44140625" style="23" customWidth="1"/>
    <col min="4" max="4" width="15.5546875" style="23" bestFit="1" customWidth="1"/>
    <col min="5" max="6" width="19.44140625" style="23" customWidth="1"/>
    <col min="7" max="8" width="19.77734375" style="23" customWidth="1"/>
    <col min="9" max="9" width="21.109375" style="23" customWidth="1"/>
    <col min="10" max="10" width="30.6640625" style="23" customWidth="1"/>
    <col min="11" max="11" width="22.44140625" style="23" customWidth="1"/>
    <col min="12" max="12" width="19" style="23" customWidth="1"/>
    <col min="13" max="13" width="6.33203125" style="23" customWidth="1"/>
    <col min="14" max="16384" width="9.109375" style="23"/>
  </cols>
  <sheetData>
    <row r="1" spans="1:11" ht="96" customHeight="1" thickBot="1" x14ac:dyDescent="0.3">
      <c r="J1" s="30"/>
      <c r="K1" s="30"/>
    </row>
    <row r="2" spans="1:11" ht="59.25" customHeight="1" thickTop="1" thickBot="1" x14ac:dyDescent="0.3">
      <c r="A2" s="15" t="s">
        <v>16</v>
      </c>
      <c r="B2" s="15" t="s">
        <v>15</v>
      </c>
      <c r="C2" s="15" t="s">
        <v>14</v>
      </c>
      <c r="D2" s="15" t="s">
        <v>13</v>
      </c>
      <c r="E2" s="15" t="s">
        <v>12</v>
      </c>
      <c r="F2" s="192" t="s">
        <v>131</v>
      </c>
      <c r="G2" s="192" t="s">
        <v>132</v>
      </c>
      <c r="H2" s="183" t="s">
        <v>139</v>
      </c>
      <c r="I2" s="159" t="s">
        <v>11</v>
      </c>
      <c r="J2" s="159" t="s">
        <v>10</v>
      </c>
    </row>
    <row r="3" spans="1:11" ht="14.4" thickTop="1" thickBot="1" x14ac:dyDescent="0.3">
      <c r="A3" s="159">
        <v>1</v>
      </c>
      <c r="B3" s="159">
        <v>2</v>
      </c>
      <c r="C3" s="159">
        <v>3</v>
      </c>
      <c r="D3" s="159">
        <v>4</v>
      </c>
      <c r="E3" s="159">
        <v>5</v>
      </c>
      <c r="F3" s="159" t="s">
        <v>138</v>
      </c>
      <c r="G3" s="159" t="s">
        <v>137</v>
      </c>
      <c r="H3" s="233">
        <v>8</v>
      </c>
      <c r="I3" s="159">
        <v>9</v>
      </c>
      <c r="J3" s="159">
        <v>10</v>
      </c>
    </row>
    <row r="4" spans="1:11" ht="14.4" thickTop="1" thickBot="1" x14ac:dyDescent="0.3">
      <c r="A4" s="158" t="s">
        <v>9</v>
      </c>
      <c r="B4" s="158" t="s">
        <v>8</v>
      </c>
      <c r="C4" s="158" t="s">
        <v>7</v>
      </c>
      <c r="D4" s="158" t="s">
        <v>6</v>
      </c>
      <c r="E4" s="158" t="s">
        <v>5</v>
      </c>
      <c r="F4" s="158" t="s">
        <v>4</v>
      </c>
      <c r="G4" s="158" t="s">
        <v>3</v>
      </c>
      <c r="H4" s="158" t="s">
        <v>2</v>
      </c>
      <c r="I4" s="158" t="s">
        <v>133</v>
      </c>
      <c r="J4" s="158" t="s">
        <v>134</v>
      </c>
    </row>
    <row r="5" spans="1:11" ht="13.8" thickTop="1" x14ac:dyDescent="0.25">
      <c r="A5" s="185" t="s">
        <v>33</v>
      </c>
      <c r="B5" s="186" t="s">
        <v>51</v>
      </c>
      <c r="C5" s="187" t="s">
        <v>52</v>
      </c>
      <c r="D5" s="187" t="s">
        <v>53</v>
      </c>
      <c r="E5" s="186" t="s">
        <v>55</v>
      </c>
      <c r="F5" s="198" t="s">
        <v>142</v>
      </c>
      <c r="G5" s="199">
        <v>0.65</v>
      </c>
      <c r="H5" s="200">
        <v>0.5</v>
      </c>
      <c r="I5" s="206">
        <v>0</v>
      </c>
      <c r="J5" s="207">
        <f>+B32+D31</f>
        <v>40000000</v>
      </c>
    </row>
    <row r="6" spans="1:11" x14ac:dyDescent="0.25">
      <c r="A6" s="167" t="s">
        <v>33</v>
      </c>
      <c r="B6" s="21" t="s">
        <v>51</v>
      </c>
      <c r="C6" s="26" t="s">
        <v>52</v>
      </c>
      <c r="D6" s="26" t="s">
        <v>54</v>
      </c>
      <c r="E6" s="22" t="s">
        <v>68</v>
      </c>
      <c r="F6" s="201" t="s">
        <v>142</v>
      </c>
      <c r="G6" s="202">
        <v>0</v>
      </c>
      <c r="H6" s="203">
        <v>0</v>
      </c>
      <c r="I6" s="208">
        <v>0</v>
      </c>
      <c r="J6" s="209">
        <f>+F29</f>
        <v>21666.666666666668</v>
      </c>
    </row>
    <row r="7" spans="1:11" x14ac:dyDescent="0.25">
      <c r="A7" s="168" t="s">
        <v>33</v>
      </c>
      <c r="B7" s="19" t="s">
        <v>51</v>
      </c>
      <c r="C7" s="20" t="s">
        <v>52</v>
      </c>
      <c r="D7" s="20" t="s">
        <v>54</v>
      </c>
      <c r="E7" s="20" t="s">
        <v>55</v>
      </c>
      <c r="F7" s="201" t="s">
        <v>142</v>
      </c>
      <c r="G7" s="202">
        <v>0</v>
      </c>
      <c r="H7" s="202">
        <v>0</v>
      </c>
      <c r="I7" s="208">
        <v>0</v>
      </c>
      <c r="J7" s="210">
        <f>+F30</f>
        <v>43333.333333333336</v>
      </c>
    </row>
    <row r="8" spans="1:11" x14ac:dyDescent="0.25">
      <c r="A8" s="168" t="s">
        <v>33</v>
      </c>
      <c r="B8" s="19" t="s">
        <v>51</v>
      </c>
      <c r="C8" s="20" t="s">
        <v>52</v>
      </c>
      <c r="D8" s="20" t="s">
        <v>54</v>
      </c>
      <c r="E8" s="22" t="s">
        <v>56</v>
      </c>
      <c r="F8" s="201" t="s">
        <v>142</v>
      </c>
      <c r="G8" s="202">
        <v>0</v>
      </c>
      <c r="H8" s="202">
        <v>0</v>
      </c>
      <c r="I8" s="208">
        <v>0</v>
      </c>
      <c r="J8" s="211">
        <f>+F32</f>
        <v>46875</v>
      </c>
    </row>
    <row r="9" spans="1:11" x14ac:dyDescent="0.25">
      <c r="A9" s="168" t="s">
        <v>33</v>
      </c>
      <c r="B9" s="19" t="s">
        <v>51</v>
      </c>
      <c r="C9" s="20" t="s">
        <v>52</v>
      </c>
      <c r="D9" s="20" t="s">
        <v>54</v>
      </c>
      <c r="E9" s="22" t="s">
        <v>57</v>
      </c>
      <c r="F9" s="201" t="s">
        <v>142</v>
      </c>
      <c r="G9" s="202">
        <v>0</v>
      </c>
      <c r="H9" s="202">
        <v>0</v>
      </c>
      <c r="I9" s="208">
        <v>0</v>
      </c>
      <c r="J9" s="211">
        <f>+F35</f>
        <v>43750</v>
      </c>
    </row>
    <row r="10" spans="1:11" x14ac:dyDescent="0.25">
      <c r="A10" s="168" t="s">
        <v>33</v>
      </c>
      <c r="B10" s="19" t="s">
        <v>51</v>
      </c>
      <c r="C10" s="20" t="s">
        <v>52</v>
      </c>
      <c r="D10" s="20" t="s">
        <v>54</v>
      </c>
      <c r="E10" s="22" t="s">
        <v>58</v>
      </c>
      <c r="F10" s="201" t="s">
        <v>142</v>
      </c>
      <c r="G10" s="202">
        <v>0</v>
      </c>
      <c r="H10" s="202">
        <v>0</v>
      </c>
      <c r="I10" s="208">
        <v>0</v>
      </c>
      <c r="J10" s="211">
        <f>+F38</f>
        <v>40625</v>
      </c>
    </row>
    <row r="11" spans="1:11" x14ac:dyDescent="0.25">
      <c r="A11" s="168" t="s">
        <v>33</v>
      </c>
      <c r="B11" s="19" t="s">
        <v>51</v>
      </c>
      <c r="C11" s="20" t="s">
        <v>52</v>
      </c>
      <c r="D11" s="20" t="s">
        <v>54</v>
      </c>
      <c r="E11" s="22" t="s">
        <v>59</v>
      </c>
      <c r="F11" s="201" t="s">
        <v>142</v>
      </c>
      <c r="G11" s="202">
        <v>0</v>
      </c>
      <c r="H11" s="202">
        <v>0</v>
      </c>
      <c r="I11" s="208">
        <v>0</v>
      </c>
      <c r="J11" s="211">
        <f>+F41</f>
        <v>71875</v>
      </c>
    </row>
    <row r="12" spans="1:11" x14ac:dyDescent="0.25">
      <c r="A12" s="168" t="s">
        <v>33</v>
      </c>
      <c r="B12" s="19" t="s">
        <v>51</v>
      </c>
      <c r="C12" s="20" t="s">
        <v>52</v>
      </c>
      <c r="D12" s="20" t="s">
        <v>54</v>
      </c>
      <c r="E12" s="22" t="s">
        <v>60</v>
      </c>
      <c r="F12" s="201" t="s">
        <v>142</v>
      </c>
      <c r="G12" s="202">
        <v>0</v>
      </c>
      <c r="H12" s="202">
        <v>0</v>
      </c>
      <c r="I12" s="208">
        <v>0</v>
      </c>
      <c r="J12" s="211">
        <f>+F47</f>
        <v>59375</v>
      </c>
    </row>
    <row r="13" spans="1:11" x14ac:dyDescent="0.25">
      <c r="A13" s="168" t="s">
        <v>33</v>
      </c>
      <c r="B13" s="19" t="s">
        <v>51</v>
      </c>
      <c r="C13" s="20" t="s">
        <v>52</v>
      </c>
      <c r="D13" s="20" t="s">
        <v>54</v>
      </c>
      <c r="E13" s="22" t="s">
        <v>61</v>
      </c>
      <c r="F13" s="201" t="s">
        <v>142</v>
      </c>
      <c r="G13" s="202">
        <v>0</v>
      </c>
      <c r="H13" s="202">
        <v>0</v>
      </c>
      <c r="I13" s="208">
        <v>0</v>
      </c>
      <c r="J13" s="211">
        <f>+F53</f>
        <v>81249.999999999985</v>
      </c>
    </row>
    <row r="14" spans="1:11" ht="13.8" thickBot="1" x14ac:dyDescent="0.3">
      <c r="A14" s="169" t="s">
        <v>33</v>
      </c>
      <c r="B14" s="31" t="s">
        <v>51</v>
      </c>
      <c r="C14" s="31" t="s">
        <v>52</v>
      </c>
      <c r="D14" s="31" t="s">
        <v>54</v>
      </c>
      <c r="E14" s="31" t="s">
        <v>62</v>
      </c>
      <c r="F14" s="204" t="s">
        <v>142</v>
      </c>
      <c r="G14" s="205">
        <v>0</v>
      </c>
      <c r="H14" s="205">
        <v>0</v>
      </c>
      <c r="I14" s="212">
        <v>0</v>
      </c>
      <c r="J14" s="213">
        <f>+F65</f>
        <v>31250</v>
      </c>
    </row>
    <row r="15" spans="1:11" ht="13.8" thickTop="1" x14ac:dyDescent="0.25"/>
    <row r="16" spans="1:11" x14ac:dyDescent="0.25">
      <c r="A16" s="41" t="s">
        <v>34</v>
      </c>
      <c r="B16" s="42" t="s">
        <v>91</v>
      </c>
    </row>
    <row r="17" spans="1:6" x14ac:dyDescent="0.25">
      <c r="A17" s="41" t="s">
        <v>16</v>
      </c>
      <c r="B17" s="42" t="s">
        <v>33</v>
      </c>
    </row>
    <row r="18" spans="1:6" x14ac:dyDescent="0.25">
      <c r="A18" s="41" t="s">
        <v>35</v>
      </c>
      <c r="B18" s="32" t="s">
        <v>50</v>
      </c>
    </row>
    <row r="19" spans="1:6" x14ac:dyDescent="0.25">
      <c r="A19" s="41" t="s">
        <v>37</v>
      </c>
      <c r="B19" s="32" t="s">
        <v>46</v>
      </c>
      <c r="C19" s="196"/>
    </row>
    <row r="20" spans="1:6" x14ac:dyDescent="0.25">
      <c r="A20" s="41" t="s">
        <v>36</v>
      </c>
      <c r="B20" s="32" t="s">
        <v>47</v>
      </c>
      <c r="C20" s="29"/>
    </row>
    <row r="21" spans="1:6" x14ac:dyDescent="0.25">
      <c r="A21" s="41" t="s">
        <v>38</v>
      </c>
      <c r="B21" s="32" t="s">
        <v>39</v>
      </c>
    </row>
    <row r="22" spans="1:6" x14ac:dyDescent="0.25">
      <c r="A22" s="41" t="s">
        <v>40</v>
      </c>
      <c r="B22" s="32" t="s">
        <v>42</v>
      </c>
    </row>
    <row r="23" spans="1:6" x14ac:dyDescent="0.25">
      <c r="A23" s="41" t="s">
        <v>41</v>
      </c>
      <c r="B23" s="43" t="s">
        <v>43</v>
      </c>
    </row>
    <row r="24" spans="1:6" x14ac:dyDescent="0.25">
      <c r="A24" s="41" t="s">
        <v>44</v>
      </c>
      <c r="B24" s="32" t="s">
        <v>45</v>
      </c>
    </row>
    <row r="25" spans="1:6" x14ac:dyDescent="0.25">
      <c r="A25" s="244" t="s">
        <v>63</v>
      </c>
      <c r="B25" s="245"/>
    </row>
    <row r="26" spans="1:6" ht="13.8" thickBot="1" x14ac:dyDescent="0.3"/>
    <row r="27" spans="1:6" x14ac:dyDescent="0.25">
      <c r="A27" s="246" t="s">
        <v>109</v>
      </c>
      <c r="B27" s="247"/>
      <c r="C27" s="247"/>
      <c r="D27" s="248"/>
      <c r="E27" s="145" t="s">
        <v>83</v>
      </c>
      <c r="F27" s="146"/>
    </row>
    <row r="28" spans="1:6" ht="13.8" thickBot="1" x14ac:dyDescent="0.3">
      <c r="A28" s="38" t="s">
        <v>111</v>
      </c>
      <c r="B28" s="40" t="s">
        <v>110</v>
      </c>
      <c r="C28" s="40" t="s">
        <v>48</v>
      </c>
      <c r="D28" s="39" t="s">
        <v>49</v>
      </c>
      <c r="E28" s="38" t="s">
        <v>84</v>
      </c>
      <c r="F28" s="39" t="s">
        <v>82</v>
      </c>
    </row>
    <row r="29" spans="1:6" ht="13.8" thickBot="1" x14ac:dyDescent="0.3">
      <c r="A29" s="34">
        <v>1</v>
      </c>
      <c r="B29" s="35">
        <v>40000000</v>
      </c>
      <c r="C29" s="33">
        <f>+B29*(0.0015+0.005)/12</f>
        <v>21666.666666666668</v>
      </c>
      <c r="D29" s="35">
        <f>+IF(MOD(A29,3)=0,70000000/28,0)</f>
        <v>0</v>
      </c>
      <c r="E29" s="118">
        <f>+A29/12</f>
        <v>8.3333333333333329E-2</v>
      </c>
      <c r="F29" s="112">
        <f>+C29</f>
        <v>21666.666666666668</v>
      </c>
    </row>
    <row r="30" spans="1:6" x14ac:dyDescent="0.25">
      <c r="A30" s="34">
        <v>2</v>
      </c>
      <c r="B30" s="35">
        <f t="shared" ref="B30:B76" si="0">+B29-D29</f>
        <v>40000000</v>
      </c>
      <c r="C30" s="33">
        <f>+B30*(0.0015+0.005)/12</f>
        <v>21666.666666666668</v>
      </c>
      <c r="D30" s="35">
        <f t="shared" ref="D30:D76" si="1">+IF(MOD(A30,3)=0,70000000/28,0)</f>
        <v>0</v>
      </c>
      <c r="E30" s="119">
        <f t="shared" ref="E30:E76" si="2">+A30/12</f>
        <v>0.16666666666666666</v>
      </c>
      <c r="F30" s="241">
        <f>+C30+C31</f>
        <v>43333.333333333336</v>
      </c>
    </row>
    <row r="31" spans="1:6" ht="13.8" thickBot="1" x14ac:dyDescent="0.3">
      <c r="A31" s="36">
        <v>3</v>
      </c>
      <c r="B31" s="37">
        <f t="shared" si="0"/>
        <v>40000000</v>
      </c>
      <c r="C31" s="115">
        <f>+B31*(0.0015+0.005)/12</f>
        <v>21666.666666666668</v>
      </c>
      <c r="D31" s="37">
        <f t="shared" si="1"/>
        <v>2500000</v>
      </c>
      <c r="E31" s="118">
        <f t="shared" si="2"/>
        <v>0.25</v>
      </c>
      <c r="F31" s="243"/>
    </row>
    <row r="32" spans="1:6" x14ac:dyDescent="0.25">
      <c r="A32" s="34">
        <v>4</v>
      </c>
      <c r="B32" s="117">
        <f t="shared" si="0"/>
        <v>37500000</v>
      </c>
      <c r="C32" s="116">
        <f>+B32*(0.005)/12</f>
        <v>15625</v>
      </c>
      <c r="D32" s="35">
        <f t="shared" si="1"/>
        <v>0</v>
      </c>
      <c r="E32" s="119">
        <f t="shared" si="2"/>
        <v>0.33333333333333331</v>
      </c>
      <c r="F32" s="241">
        <f>+SUM(C32:C34)</f>
        <v>46875</v>
      </c>
    </row>
    <row r="33" spans="1:6" x14ac:dyDescent="0.25">
      <c r="A33" s="34">
        <v>5</v>
      </c>
      <c r="B33" s="35">
        <f t="shared" si="0"/>
        <v>37500000</v>
      </c>
      <c r="C33" s="116">
        <f t="shared" ref="C33:C76" si="3">+B33*(0.005)/12</f>
        <v>15625</v>
      </c>
      <c r="D33" s="35">
        <f t="shared" si="1"/>
        <v>0</v>
      </c>
      <c r="E33" s="120">
        <f t="shared" si="2"/>
        <v>0.41666666666666669</v>
      </c>
      <c r="F33" s="242"/>
    </row>
    <row r="34" spans="1:6" ht="13.8" thickBot="1" x14ac:dyDescent="0.3">
      <c r="A34" s="34">
        <v>6</v>
      </c>
      <c r="B34" s="35">
        <f t="shared" si="0"/>
        <v>37500000</v>
      </c>
      <c r="C34" s="116">
        <f t="shared" si="3"/>
        <v>15625</v>
      </c>
      <c r="D34" s="35">
        <f t="shared" si="1"/>
        <v>2500000</v>
      </c>
      <c r="E34" s="118">
        <f t="shared" si="2"/>
        <v>0.5</v>
      </c>
      <c r="F34" s="243"/>
    </row>
    <row r="35" spans="1:6" x14ac:dyDescent="0.25">
      <c r="A35" s="34">
        <v>7</v>
      </c>
      <c r="B35" s="35">
        <f t="shared" si="0"/>
        <v>35000000</v>
      </c>
      <c r="C35" s="116">
        <f t="shared" si="3"/>
        <v>14583.333333333334</v>
      </c>
      <c r="D35" s="35">
        <f t="shared" si="1"/>
        <v>0</v>
      </c>
      <c r="E35" s="119">
        <f t="shared" si="2"/>
        <v>0.58333333333333337</v>
      </c>
      <c r="F35" s="241">
        <f>+SUM(C35:C37)</f>
        <v>43750</v>
      </c>
    </row>
    <row r="36" spans="1:6" x14ac:dyDescent="0.25">
      <c r="A36" s="34">
        <v>8</v>
      </c>
      <c r="B36" s="35">
        <f t="shared" si="0"/>
        <v>35000000</v>
      </c>
      <c r="C36" s="116">
        <f t="shared" si="3"/>
        <v>14583.333333333334</v>
      </c>
      <c r="D36" s="35">
        <f t="shared" si="1"/>
        <v>0</v>
      </c>
      <c r="E36" s="120">
        <f t="shared" si="2"/>
        <v>0.66666666666666663</v>
      </c>
      <c r="F36" s="242"/>
    </row>
    <row r="37" spans="1:6" ht="13.8" thickBot="1" x14ac:dyDescent="0.3">
      <c r="A37" s="34">
        <v>9</v>
      </c>
      <c r="B37" s="35">
        <f t="shared" si="0"/>
        <v>35000000</v>
      </c>
      <c r="C37" s="116">
        <f t="shared" si="3"/>
        <v>14583.333333333334</v>
      </c>
      <c r="D37" s="35">
        <f t="shared" si="1"/>
        <v>2500000</v>
      </c>
      <c r="E37" s="118">
        <f t="shared" si="2"/>
        <v>0.75</v>
      </c>
      <c r="F37" s="243"/>
    </row>
    <row r="38" spans="1:6" x14ac:dyDescent="0.25">
      <c r="A38" s="34">
        <v>10</v>
      </c>
      <c r="B38" s="35">
        <f t="shared" si="0"/>
        <v>32500000</v>
      </c>
      <c r="C38" s="116">
        <f t="shared" si="3"/>
        <v>13541.666666666666</v>
      </c>
      <c r="D38" s="35">
        <f t="shared" si="1"/>
        <v>0</v>
      </c>
      <c r="E38" s="119">
        <f t="shared" si="2"/>
        <v>0.83333333333333337</v>
      </c>
      <c r="F38" s="241">
        <f>+SUM(C38:C40)</f>
        <v>40625</v>
      </c>
    </row>
    <row r="39" spans="1:6" x14ac:dyDescent="0.25">
      <c r="A39" s="34">
        <v>11</v>
      </c>
      <c r="B39" s="35">
        <f t="shared" si="0"/>
        <v>32500000</v>
      </c>
      <c r="C39" s="116">
        <f t="shared" si="3"/>
        <v>13541.666666666666</v>
      </c>
      <c r="D39" s="35">
        <f t="shared" si="1"/>
        <v>0</v>
      </c>
      <c r="E39" s="120">
        <f t="shared" si="2"/>
        <v>0.91666666666666663</v>
      </c>
      <c r="F39" s="242"/>
    </row>
    <row r="40" spans="1:6" ht="13.8" thickBot="1" x14ac:dyDescent="0.3">
      <c r="A40" s="34">
        <v>12</v>
      </c>
      <c r="B40" s="35">
        <f t="shared" si="0"/>
        <v>32500000</v>
      </c>
      <c r="C40" s="116">
        <f t="shared" si="3"/>
        <v>13541.666666666666</v>
      </c>
      <c r="D40" s="35">
        <f t="shared" si="1"/>
        <v>2500000</v>
      </c>
      <c r="E40" s="118">
        <f t="shared" si="2"/>
        <v>1</v>
      </c>
      <c r="F40" s="243"/>
    </row>
    <row r="41" spans="1:6" x14ac:dyDescent="0.25">
      <c r="A41" s="34">
        <v>13</v>
      </c>
      <c r="B41" s="35">
        <f t="shared" si="0"/>
        <v>30000000</v>
      </c>
      <c r="C41" s="116">
        <f t="shared" si="3"/>
        <v>12500</v>
      </c>
      <c r="D41" s="35">
        <f t="shared" si="1"/>
        <v>0</v>
      </c>
      <c r="E41" s="119">
        <f t="shared" si="2"/>
        <v>1.0833333333333333</v>
      </c>
      <c r="F41" s="241">
        <f>+SUM(C41:C46)</f>
        <v>71875</v>
      </c>
    </row>
    <row r="42" spans="1:6" x14ac:dyDescent="0.25">
      <c r="A42" s="34">
        <v>14</v>
      </c>
      <c r="B42" s="35">
        <f t="shared" si="0"/>
        <v>30000000</v>
      </c>
      <c r="C42" s="116">
        <f t="shared" si="3"/>
        <v>12500</v>
      </c>
      <c r="D42" s="35">
        <f t="shared" si="1"/>
        <v>0</v>
      </c>
      <c r="E42" s="120">
        <f t="shared" si="2"/>
        <v>1.1666666666666667</v>
      </c>
      <c r="F42" s="242"/>
    </row>
    <row r="43" spans="1:6" x14ac:dyDescent="0.25">
      <c r="A43" s="34">
        <v>15</v>
      </c>
      <c r="B43" s="35">
        <f t="shared" si="0"/>
        <v>30000000</v>
      </c>
      <c r="C43" s="116">
        <f t="shared" si="3"/>
        <v>12500</v>
      </c>
      <c r="D43" s="35">
        <f t="shared" si="1"/>
        <v>2500000</v>
      </c>
      <c r="E43" s="120">
        <f t="shared" si="2"/>
        <v>1.25</v>
      </c>
      <c r="F43" s="242"/>
    </row>
    <row r="44" spans="1:6" x14ac:dyDescent="0.25">
      <c r="A44" s="34">
        <v>16</v>
      </c>
      <c r="B44" s="35">
        <f t="shared" si="0"/>
        <v>27500000</v>
      </c>
      <c r="C44" s="116">
        <f t="shared" si="3"/>
        <v>11458.333333333334</v>
      </c>
      <c r="D44" s="35">
        <f t="shared" si="1"/>
        <v>0</v>
      </c>
      <c r="E44" s="120">
        <f t="shared" si="2"/>
        <v>1.3333333333333333</v>
      </c>
      <c r="F44" s="242"/>
    </row>
    <row r="45" spans="1:6" x14ac:dyDescent="0.25">
      <c r="A45" s="34">
        <v>17</v>
      </c>
      <c r="B45" s="35">
        <f t="shared" si="0"/>
        <v>27500000</v>
      </c>
      <c r="C45" s="116">
        <f t="shared" si="3"/>
        <v>11458.333333333334</v>
      </c>
      <c r="D45" s="35">
        <f t="shared" si="1"/>
        <v>0</v>
      </c>
      <c r="E45" s="120">
        <f t="shared" si="2"/>
        <v>1.4166666666666667</v>
      </c>
      <c r="F45" s="242"/>
    </row>
    <row r="46" spans="1:6" ht="13.8" thickBot="1" x14ac:dyDescent="0.3">
      <c r="A46" s="34">
        <v>18</v>
      </c>
      <c r="B46" s="35">
        <f t="shared" si="0"/>
        <v>27500000</v>
      </c>
      <c r="C46" s="116">
        <f t="shared" si="3"/>
        <v>11458.333333333334</v>
      </c>
      <c r="D46" s="35">
        <f t="shared" si="1"/>
        <v>2500000</v>
      </c>
      <c r="E46" s="118">
        <f t="shared" si="2"/>
        <v>1.5</v>
      </c>
      <c r="F46" s="243"/>
    </row>
    <row r="47" spans="1:6" x14ac:dyDescent="0.25">
      <c r="A47" s="34">
        <v>19</v>
      </c>
      <c r="B47" s="35">
        <f t="shared" si="0"/>
        <v>25000000</v>
      </c>
      <c r="C47" s="116">
        <f t="shared" si="3"/>
        <v>10416.666666666666</v>
      </c>
      <c r="D47" s="35">
        <f t="shared" si="1"/>
        <v>0</v>
      </c>
      <c r="E47" s="119">
        <f t="shared" si="2"/>
        <v>1.5833333333333333</v>
      </c>
      <c r="F47" s="241">
        <f>+SUM(C47:C52)</f>
        <v>59375</v>
      </c>
    </row>
    <row r="48" spans="1:6" x14ac:dyDescent="0.25">
      <c r="A48" s="34">
        <v>20</v>
      </c>
      <c r="B48" s="35">
        <f t="shared" si="0"/>
        <v>25000000</v>
      </c>
      <c r="C48" s="116">
        <f t="shared" si="3"/>
        <v>10416.666666666666</v>
      </c>
      <c r="D48" s="35">
        <f t="shared" si="1"/>
        <v>0</v>
      </c>
      <c r="E48" s="120">
        <f t="shared" si="2"/>
        <v>1.6666666666666667</v>
      </c>
      <c r="F48" s="242"/>
    </row>
    <row r="49" spans="1:6" x14ac:dyDescent="0.25">
      <c r="A49" s="34">
        <v>21</v>
      </c>
      <c r="B49" s="35">
        <f t="shared" si="0"/>
        <v>25000000</v>
      </c>
      <c r="C49" s="116">
        <f t="shared" si="3"/>
        <v>10416.666666666666</v>
      </c>
      <c r="D49" s="35">
        <f t="shared" si="1"/>
        <v>2500000</v>
      </c>
      <c r="E49" s="120">
        <f t="shared" si="2"/>
        <v>1.75</v>
      </c>
      <c r="F49" s="242"/>
    </row>
    <row r="50" spans="1:6" x14ac:dyDescent="0.25">
      <c r="A50" s="34">
        <v>22</v>
      </c>
      <c r="B50" s="35">
        <f t="shared" si="0"/>
        <v>22500000</v>
      </c>
      <c r="C50" s="116">
        <f t="shared" si="3"/>
        <v>9375</v>
      </c>
      <c r="D50" s="35">
        <f t="shared" si="1"/>
        <v>0</v>
      </c>
      <c r="E50" s="120">
        <f t="shared" si="2"/>
        <v>1.8333333333333333</v>
      </c>
      <c r="F50" s="242"/>
    </row>
    <row r="51" spans="1:6" x14ac:dyDescent="0.25">
      <c r="A51" s="34">
        <v>23</v>
      </c>
      <c r="B51" s="35">
        <f t="shared" si="0"/>
        <v>22500000</v>
      </c>
      <c r="C51" s="116">
        <f t="shared" si="3"/>
        <v>9375</v>
      </c>
      <c r="D51" s="35">
        <f t="shared" si="1"/>
        <v>0</v>
      </c>
      <c r="E51" s="120">
        <f t="shared" si="2"/>
        <v>1.9166666666666667</v>
      </c>
      <c r="F51" s="242"/>
    </row>
    <row r="52" spans="1:6" ht="13.8" thickBot="1" x14ac:dyDescent="0.3">
      <c r="A52" s="34">
        <v>24</v>
      </c>
      <c r="B52" s="35">
        <f t="shared" si="0"/>
        <v>22500000</v>
      </c>
      <c r="C52" s="116">
        <f t="shared" si="3"/>
        <v>9375</v>
      </c>
      <c r="D52" s="35">
        <f t="shared" si="1"/>
        <v>2500000</v>
      </c>
      <c r="E52" s="118">
        <f t="shared" si="2"/>
        <v>2</v>
      </c>
      <c r="F52" s="243"/>
    </row>
    <row r="53" spans="1:6" x14ac:dyDescent="0.25">
      <c r="A53" s="34">
        <v>25</v>
      </c>
      <c r="B53" s="35">
        <f t="shared" si="0"/>
        <v>20000000</v>
      </c>
      <c r="C53" s="116">
        <f t="shared" si="3"/>
        <v>8333.3333333333339</v>
      </c>
      <c r="D53" s="35">
        <f t="shared" si="1"/>
        <v>0</v>
      </c>
      <c r="E53" s="119">
        <f t="shared" si="2"/>
        <v>2.0833333333333335</v>
      </c>
      <c r="F53" s="241">
        <f>+SUM(C53:C64)</f>
        <v>81249.999999999985</v>
      </c>
    </row>
    <row r="54" spans="1:6" x14ac:dyDescent="0.25">
      <c r="A54" s="34">
        <v>26</v>
      </c>
      <c r="B54" s="35">
        <f t="shared" si="0"/>
        <v>20000000</v>
      </c>
      <c r="C54" s="116">
        <f t="shared" si="3"/>
        <v>8333.3333333333339</v>
      </c>
      <c r="D54" s="35">
        <f t="shared" si="1"/>
        <v>0</v>
      </c>
      <c r="E54" s="120">
        <f t="shared" si="2"/>
        <v>2.1666666666666665</v>
      </c>
      <c r="F54" s="242"/>
    </row>
    <row r="55" spans="1:6" x14ac:dyDescent="0.25">
      <c r="A55" s="34">
        <v>27</v>
      </c>
      <c r="B55" s="35">
        <f t="shared" si="0"/>
        <v>20000000</v>
      </c>
      <c r="C55" s="116">
        <f t="shared" si="3"/>
        <v>8333.3333333333339</v>
      </c>
      <c r="D55" s="35">
        <f t="shared" si="1"/>
        <v>2500000</v>
      </c>
      <c r="E55" s="120">
        <f t="shared" si="2"/>
        <v>2.25</v>
      </c>
      <c r="F55" s="242"/>
    </row>
    <row r="56" spans="1:6" x14ac:dyDescent="0.25">
      <c r="A56" s="34">
        <v>28</v>
      </c>
      <c r="B56" s="35">
        <f t="shared" si="0"/>
        <v>17500000</v>
      </c>
      <c r="C56" s="116">
        <f t="shared" si="3"/>
        <v>7291.666666666667</v>
      </c>
      <c r="D56" s="35">
        <f t="shared" si="1"/>
        <v>0</v>
      </c>
      <c r="E56" s="120">
        <f t="shared" si="2"/>
        <v>2.3333333333333335</v>
      </c>
      <c r="F56" s="242"/>
    </row>
    <row r="57" spans="1:6" x14ac:dyDescent="0.25">
      <c r="A57" s="34">
        <v>29</v>
      </c>
      <c r="B57" s="35">
        <f t="shared" si="0"/>
        <v>17500000</v>
      </c>
      <c r="C57" s="116">
        <f t="shared" si="3"/>
        <v>7291.666666666667</v>
      </c>
      <c r="D57" s="35">
        <f t="shared" si="1"/>
        <v>0</v>
      </c>
      <c r="E57" s="120">
        <f t="shared" si="2"/>
        <v>2.4166666666666665</v>
      </c>
      <c r="F57" s="242"/>
    </row>
    <row r="58" spans="1:6" x14ac:dyDescent="0.25">
      <c r="A58" s="34">
        <v>30</v>
      </c>
      <c r="B58" s="35">
        <f t="shared" si="0"/>
        <v>17500000</v>
      </c>
      <c r="C58" s="116">
        <f t="shared" si="3"/>
        <v>7291.666666666667</v>
      </c>
      <c r="D58" s="35">
        <f t="shared" si="1"/>
        <v>2500000</v>
      </c>
      <c r="E58" s="120">
        <f t="shared" si="2"/>
        <v>2.5</v>
      </c>
      <c r="F58" s="242"/>
    </row>
    <row r="59" spans="1:6" x14ac:dyDescent="0.25">
      <c r="A59" s="34">
        <v>31</v>
      </c>
      <c r="B59" s="35">
        <f t="shared" si="0"/>
        <v>15000000</v>
      </c>
      <c r="C59" s="116">
        <f t="shared" si="3"/>
        <v>6250</v>
      </c>
      <c r="D59" s="35">
        <f t="shared" si="1"/>
        <v>0</v>
      </c>
      <c r="E59" s="120">
        <f t="shared" si="2"/>
        <v>2.5833333333333335</v>
      </c>
      <c r="F59" s="242"/>
    </row>
    <row r="60" spans="1:6" x14ac:dyDescent="0.25">
      <c r="A60" s="34">
        <v>32</v>
      </c>
      <c r="B60" s="35">
        <f t="shared" si="0"/>
        <v>15000000</v>
      </c>
      <c r="C60" s="116">
        <f t="shared" si="3"/>
        <v>6250</v>
      </c>
      <c r="D60" s="35">
        <f t="shared" si="1"/>
        <v>0</v>
      </c>
      <c r="E60" s="120">
        <f t="shared" si="2"/>
        <v>2.6666666666666665</v>
      </c>
      <c r="F60" s="242"/>
    </row>
    <row r="61" spans="1:6" x14ac:dyDescent="0.25">
      <c r="A61" s="34">
        <v>33</v>
      </c>
      <c r="B61" s="35">
        <f t="shared" si="0"/>
        <v>15000000</v>
      </c>
      <c r="C61" s="116">
        <f t="shared" si="3"/>
        <v>6250</v>
      </c>
      <c r="D61" s="35">
        <f t="shared" si="1"/>
        <v>2500000</v>
      </c>
      <c r="E61" s="120">
        <f t="shared" si="2"/>
        <v>2.75</v>
      </c>
      <c r="F61" s="242"/>
    </row>
    <row r="62" spans="1:6" x14ac:dyDescent="0.25">
      <c r="A62" s="34">
        <v>34</v>
      </c>
      <c r="B62" s="35">
        <f t="shared" si="0"/>
        <v>12500000</v>
      </c>
      <c r="C62" s="116">
        <f t="shared" si="3"/>
        <v>5208.333333333333</v>
      </c>
      <c r="D62" s="35">
        <f t="shared" si="1"/>
        <v>0</v>
      </c>
      <c r="E62" s="120">
        <f t="shared" si="2"/>
        <v>2.8333333333333335</v>
      </c>
      <c r="F62" s="242"/>
    </row>
    <row r="63" spans="1:6" x14ac:dyDescent="0.25">
      <c r="A63" s="34">
        <v>35</v>
      </c>
      <c r="B63" s="35">
        <f t="shared" si="0"/>
        <v>12500000</v>
      </c>
      <c r="C63" s="116">
        <f t="shared" si="3"/>
        <v>5208.333333333333</v>
      </c>
      <c r="D63" s="35">
        <f t="shared" si="1"/>
        <v>0</v>
      </c>
      <c r="E63" s="120">
        <f t="shared" si="2"/>
        <v>2.9166666666666665</v>
      </c>
      <c r="F63" s="242"/>
    </row>
    <row r="64" spans="1:6" ht="13.8" thickBot="1" x14ac:dyDescent="0.3">
      <c r="A64" s="34">
        <v>36</v>
      </c>
      <c r="B64" s="35">
        <f t="shared" si="0"/>
        <v>12500000</v>
      </c>
      <c r="C64" s="116">
        <f t="shared" si="3"/>
        <v>5208.333333333333</v>
      </c>
      <c r="D64" s="35">
        <f t="shared" si="1"/>
        <v>2500000</v>
      </c>
      <c r="E64" s="118">
        <f t="shared" si="2"/>
        <v>3</v>
      </c>
      <c r="F64" s="243"/>
    </row>
    <row r="65" spans="1:6" x14ac:dyDescent="0.25">
      <c r="A65" s="34">
        <v>37</v>
      </c>
      <c r="B65" s="35">
        <f t="shared" si="0"/>
        <v>10000000</v>
      </c>
      <c r="C65" s="116">
        <f t="shared" si="3"/>
        <v>4166.666666666667</v>
      </c>
      <c r="D65" s="35">
        <f t="shared" si="1"/>
        <v>0</v>
      </c>
      <c r="E65" s="120">
        <f t="shared" si="2"/>
        <v>3.0833333333333335</v>
      </c>
      <c r="F65" s="241">
        <f>+SUM(C65:C76)</f>
        <v>31250</v>
      </c>
    </row>
    <row r="66" spans="1:6" x14ac:dyDescent="0.25">
      <c r="A66" s="34">
        <v>38</v>
      </c>
      <c r="B66" s="35">
        <f t="shared" si="0"/>
        <v>10000000</v>
      </c>
      <c r="C66" s="116">
        <f t="shared" si="3"/>
        <v>4166.666666666667</v>
      </c>
      <c r="D66" s="35">
        <f t="shared" si="1"/>
        <v>0</v>
      </c>
      <c r="E66" s="120">
        <f t="shared" si="2"/>
        <v>3.1666666666666665</v>
      </c>
      <c r="F66" s="242"/>
    </row>
    <row r="67" spans="1:6" x14ac:dyDescent="0.25">
      <c r="A67" s="34">
        <v>39</v>
      </c>
      <c r="B67" s="35">
        <f t="shared" si="0"/>
        <v>10000000</v>
      </c>
      <c r="C67" s="116">
        <f t="shared" si="3"/>
        <v>4166.666666666667</v>
      </c>
      <c r="D67" s="35">
        <f t="shared" si="1"/>
        <v>2500000</v>
      </c>
      <c r="E67" s="120">
        <f t="shared" si="2"/>
        <v>3.25</v>
      </c>
      <c r="F67" s="242"/>
    </row>
    <row r="68" spans="1:6" x14ac:dyDescent="0.25">
      <c r="A68" s="34">
        <v>40</v>
      </c>
      <c r="B68" s="35">
        <f t="shared" si="0"/>
        <v>7500000</v>
      </c>
      <c r="C68" s="116">
        <f t="shared" si="3"/>
        <v>3125</v>
      </c>
      <c r="D68" s="35">
        <f t="shared" si="1"/>
        <v>0</v>
      </c>
      <c r="E68" s="120">
        <f t="shared" si="2"/>
        <v>3.3333333333333335</v>
      </c>
      <c r="F68" s="242"/>
    </row>
    <row r="69" spans="1:6" x14ac:dyDescent="0.25">
      <c r="A69" s="34">
        <v>41</v>
      </c>
      <c r="B69" s="35">
        <f t="shared" si="0"/>
        <v>7500000</v>
      </c>
      <c r="C69" s="116">
        <f t="shared" si="3"/>
        <v>3125</v>
      </c>
      <c r="D69" s="35">
        <f t="shared" si="1"/>
        <v>0</v>
      </c>
      <c r="E69" s="120">
        <f t="shared" si="2"/>
        <v>3.4166666666666665</v>
      </c>
      <c r="F69" s="242"/>
    </row>
    <row r="70" spans="1:6" x14ac:dyDescent="0.25">
      <c r="A70" s="34">
        <v>42</v>
      </c>
      <c r="B70" s="35">
        <f t="shared" si="0"/>
        <v>7500000</v>
      </c>
      <c r="C70" s="116">
        <f t="shared" si="3"/>
        <v>3125</v>
      </c>
      <c r="D70" s="35">
        <f t="shared" si="1"/>
        <v>2500000</v>
      </c>
      <c r="E70" s="120">
        <f t="shared" si="2"/>
        <v>3.5</v>
      </c>
      <c r="F70" s="242"/>
    </row>
    <row r="71" spans="1:6" x14ac:dyDescent="0.25">
      <c r="A71" s="34">
        <v>43</v>
      </c>
      <c r="B71" s="35">
        <f t="shared" si="0"/>
        <v>5000000</v>
      </c>
      <c r="C71" s="116">
        <f t="shared" si="3"/>
        <v>2083.3333333333335</v>
      </c>
      <c r="D71" s="35">
        <f t="shared" si="1"/>
        <v>0</v>
      </c>
      <c r="E71" s="120">
        <f t="shared" si="2"/>
        <v>3.5833333333333335</v>
      </c>
      <c r="F71" s="242"/>
    </row>
    <row r="72" spans="1:6" x14ac:dyDescent="0.25">
      <c r="A72" s="34">
        <v>44</v>
      </c>
      <c r="B72" s="35">
        <f t="shared" si="0"/>
        <v>5000000</v>
      </c>
      <c r="C72" s="116">
        <f t="shared" si="3"/>
        <v>2083.3333333333335</v>
      </c>
      <c r="D72" s="35">
        <f t="shared" si="1"/>
        <v>0</v>
      </c>
      <c r="E72" s="120">
        <f t="shared" si="2"/>
        <v>3.6666666666666665</v>
      </c>
      <c r="F72" s="242"/>
    </row>
    <row r="73" spans="1:6" x14ac:dyDescent="0.25">
      <c r="A73" s="34">
        <v>45</v>
      </c>
      <c r="B73" s="35">
        <f t="shared" si="0"/>
        <v>5000000</v>
      </c>
      <c r="C73" s="116">
        <f t="shared" si="3"/>
        <v>2083.3333333333335</v>
      </c>
      <c r="D73" s="35">
        <f t="shared" si="1"/>
        <v>2500000</v>
      </c>
      <c r="E73" s="120">
        <f t="shared" si="2"/>
        <v>3.75</v>
      </c>
      <c r="F73" s="242"/>
    </row>
    <row r="74" spans="1:6" x14ac:dyDescent="0.25">
      <c r="A74" s="34">
        <v>46</v>
      </c>
      <c r="B74" s="35">
        <f t="shared" si="0"/>
        <v>2500000</v>
      </c>
      <c r="C74" s="116">
        <f t="shared" si="3"/>
        <v>1041.6666666666667</v>
      </c>
      <c r="D74" s="35">
        <f t="shared" si="1"/>
        <v>0</v>
      </c>
      <c r="E74" s="120">
        <f t="shared" si="2"/>
        <v>3.8333333333333335</v>
      </c>
      <c r="F74" s="242"/>
    </row>
    <row r="75" spans="1:6" x14ac:dyDescent="0.25">
      <c r="A75" s="34">
        <v>47</v>
      </c>
      <c r="B75" s="35">
        <f t="shared" si="0"/>
        <v>2500000</v>
      </c>
      <c r="C75" s="116">
        <f t="shared" si="3"/>
        <v>1041.6666666666667</v>
      </c>
      <c r="D75" s="35">
        <f t="shared" si="1"/>
        <v>0</v>
      </c>
      <c r="E75" s="120">
        <f t="shared" si="2"/>
        <v>3.9166666666666665</v>
      </c>
      <c r="F75" s="242"/>
    </row>
    <row r="76" spans="1:6" ht="13.8" thickBot="1" x14ac:dyDescent="0.3">
      <c r="A76" s="34">
        <v>48</v>
      </c>
      <c r="B76" s="35">
        <f t="shared" si="0"/>
        <v>2500000</v>
      </c>
      <c r="C76" s="116">
        <f t="shared" si="3"/>
        <v>1041.6666666666667</v>
      </c>
      <c r="D76" s="35">
        <f t="shared" si="1"/>
        <v>2500000</v>
      </c>
      <c r="E76" s="118">
        <f t="shared" si="2"/>
        <v>4</v>
      </c>
      <c r="F76" s="243"/>
    </row>
  </sheetData>
  <mergeCells count="10">
    <mergeCell ref="F41:F46"/>
    <mergeCell ref="F47:F52"/>
    <mergeCell ref="A25:B25"/>
    <mergeCell ref="A27:D27"/>
    <mergeCell ref="F65:F76"/>
    <mergeCell ref="F53:F64"/>
    <mergeCell ref="F30:F31"/>
    <mergeCell ref="F32:F34"/>
    <mergeCell ref="F35:F37"/>
    <mergeCell ref="F38:F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155"/>
  <sheetViews>
    <sheetView zoomScale="85" zoomScaleNormal="85" workbookViewId="0"/>
  </sheetViews>
  <sheetFormatPr defaultRowHeight="13.2" x14ac:dyDescent="0.25"/>
  <cols>
    <col min="1" max="1" width="21" customWidth="1"/>
    <col min="2" max="2" width="20.6640625" bestFit="1" customWidth="1"/>
    <col min="3" max="3" width="18.109375" bestFit="1" customWidth="1"/>
    <col min="4" max="4" width="13" bestFit="1" customWidth="1"/>
    <col min="5" max="5" width="14.5546875" bestFit="1" customWidth="1"/>
    <col min="6" max="6" width="14.5546875" customWidth="1"/>
    <col min="7" max="7" width="14.88671875" customWidth="1"/>
    <col min="8" max="8" width="16.88671875" customWidth="1"/>
    <col min="9" max="9" width="20.6640625" bestFit="1" customWidth="1"/>
    <col min="10" max="10" width="25.33203125" bestFit="1" customWidth="1"/>
    <col min="11" max="11" width="16.33203125" bestFit="1" customWidth="1"/>
    <col min="12" max="12" width="12" bestFit="1" customWidth="1"/>
    <col min="13" max="13" width="13.88671875" bestFit="1" customWidth="1"/>
    <col min="14" max="14" width="7.6640625" bestFit="1" customWidth="1"/>
    <col min="15" max="18" width="16.33203125" bestFit="1" customWidth="1"/>
  </cols>
  <sheetData>
    <row r="1" spans="1:15" ht="88.95" customHeight="1" thickBot="1" x14ac:dyDescent="0.3"/>
    <row r="2" spans="1:15" ht="40.799999999999997" thickTop="1" thickBot="1" x14ac:dyDescent="0.3">
      <c r="A2" s="28" t="s">
        <v>16</v>
      </c>
      <c r="B2" s="28" t="s">
        <v>15</v>
      </c>
      <c r="C2" s="28" t="s">
        <v>14</v>
      </c>
      <c r="D2" s="15" t="s">
        <v>13</v>
      </c>
      <c r="E2" s="15" t="s">
        <v>12</v>
      </c>
      <c r="F2" s="192" t="s">
        <v>131</v>
      </c>
      <c r="G2" s="192" t="s">
        <v>132</v>
      </c>
      <c r="H2" s="193" t="s">
        <v>139</v>
      </c>
      <c r="I2" s="15" t="s">
        <v>11</v>
      </c>
      <c r="J2" s="15" t="s">
        <v>10</v>
      </c>
    </row>
    <row r="3" spans="1:15" ht="14.4" thickTop="1" thickBot="1" x14ac:dyDescent="0.3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 t="s">
        <v>138</v>
      </c>
      <c r="G3" s="15" t="s">
        <v>137</v>
      </c>
      <c r="H3" s="15">
        <v>8</v>
      </c>
      <c r="I3" s="15">
        <v>9</v>
      </c>
      <c r="J3" s="15">
        <v>10</v>
      </c>
    </row>
    <row r="4" spans="1:15" ht="14.4" thickTop="1" thickBot="1" x14ac:dyDescent="0.3">
      <c r="A4" s="15" t="s">
        <v>9</v>
      </c>
      <c r="B4" s="15" t="s">
        <v>8</v>
      </c>
      <c r="C4" s="15" t="s">
        <v>7</v>
      </c>
      <c r="D4" s="15" t="s">
        <v>6</v>
      </c>
      <c r="E4" s="15" t="s">
        <v>5</v>
      </c>
      <c r="F4" s="15" t="s">
        <v>4</v>
      </c>
      <c r="G4" s="15" t="s">
        <v>3</v>
      </c>
      <c r="H4" s="15" t="s">
        <v>2</v>
      </c>
      <c r="I4" s="15" t="s">
        <v>133</v>
      </c>
      <c r="J4" s="15" t="s">
        <v>134</v>
      </c>
    </row>
    <row r="5" spans="1:15" ht="13.8" thickTop="1" x14ac:dyDescent="0.25">
      <c r="A5" s="166" t="s">
        <v>33</v>
      </c>
      <c r="B5" s="17" t="s">
        <v>51</v>
      </c>
      <c r="C5" s="17" t="s">
        <v>52</v>
      </c>
      <c r="D5" s="17" t="s">
        <v>54</v>
      </c>
      <c r="E5" s="18" t="s">
        <v>68</v>
      </c>
      <c r="F5" s="214" t="s">
        <v>143</v>
      </c>
      <c r="G5" s="200">
        <v>0</v>
      </c>
      <c r="H5" s="200">
        <v>0</v>
      </c>
      <c r="I5" s="206">
        <v>0</v>
      </c>
      <c r="J5" s="181">
        <f>+G36</f>
        <v>333333.33333333337</v>
      </c>
    </row>
    <row r="6" spans="1:15" x14ac:dyDescent="0.25">
      <c r="A6" s="167" t="s">
        <v>33</v>
      </c>
      <c r="B6" s="20" t="s">
        <v>51</v>
      </c>
      <c r="C6" s="26" t="s">
        <v>52</v>
      </c>
      <c r="D6" s="26" t="s">
        <v>54</v>
      </c>
      <c r="E6" s="22" t="s">
        <v>55</v>
      </c>
      <c r="F6" s="201" t="s">
        <v>143</v>
      </c>
      <c r="G6" s="202">
        <v>0</v>
      </c>
      <c r="H6" s="203">
        <v>0</v>
      </c>
      <c r="I6" s="208">
        <v>0</v>
      </c>
      <c r="J6" s="182">
        <f>+G37</f>
        <v>659867.9404274195</v>
      </c>
      <c r="N6" s="23"/>
    </row>
    <row r="7" spans="1:15" x14ac:dyDescent="0.25">
      <c r="A7" s="167" t="s">
        <v>33</v>
      </c>
      <c r="B7" s="20" t="s">
        <v>51</v>
      </c>
      <c r="C7" s="26" t="s">
        <v>52</v>
      </c>
      <c r="D7" s="26" t="s">
        <v>54</v>
      </c>
      <c r="E7" s="22" t="s">
        <v>56</v>
      </c>
      <c r="F7" s="201" t="s">
        <v>143</v>
      </c>
      <c r="G7" s="202">
        <v>0</v>
      </c>
      <c r="H7" s="203">
        <v>0</v>
      </c>
      <c r="I7" s="208">
        <v>0</v>
      </c>
      <c r="J7" s="182">
        <f>+G39</f>
        <v>972691.53091049078</v>
      </c>
    </row>
    <row r="8" spans="1:15" x14ac:dyDescent="0.25">
      <c r="A8" s="167" t="s">
        <v>33</v>
      </c>
      <c r="B8" s="20" t="s">
        <v>51</v>
      </c>
      <c r="C8" s="26" t="s">
        <v>52</v>
      </c>
      <c r="D8" s="26" t="s">
        <v>54</v>
      </c>
      <c r="E8" s="22" t="s">
        <v>57</v>
      </c>
      <c r="F8" s="201" t="s">
        <v>143</v>
      </c>
      <c r="G8" s="202">
        <v>0</v>
      </c>
      <c r="H8" s="203">
        <v>0</v>
      </c>
      <c r="I8" s="208">
        <v>0</v>
      </c>
      <c r="J8" s="182">
        <f>+G42</f>
        <v>951976.00621401099</v>
      </c>
    </row>
    <row r="9" spans="1:15" x14ac:dyDescent="0.25">
      <c r="A9" s="167" t="s">
        <v>33</v>
      </c>
      <c r="B9" s="20" t="s">
        <v>51</v>
      </c>
      <c r="C9" s="26" t="s">
        <v>52</v>
      </c>
      <c r="D9" s="26" t="s">
        <v>54</v>
      </c>
      <c r="E9" s="22" t="s">
        <v>58</v>
      </c>
      <c r="F9" s="201" t="s">
        <v>143</v>
      </c>
      <c r="G9" s="202">
        <v>0</v>
      </c>
      <c r="H9" s="203">
        <v>0</v>
      </c>
      <c r="I9" s="208">
        <v>0</v>
      </c>
      <c r="J9" s="182">
        <f>+G45</f>
        <v>931052.63498583506</v>
      </c>
    </row>
    <row r="10" spans="1:15" x14ac:dyDescent="0.25">
      <c r="A10" s="167" t="s">
        <v>33</v>
      </c>
      <c r="B10" s="20" t="s">
        <v>51</v>
      </c>
      <c r="C10" s="26" t="s">
        <v>52</v>
      </c>
      <c r="D10" s="26" t="s">
        <v>54</v>
      </c>
      <c r="E10" s="22" t="s">
        <v>59</v>
      </c>
      <c r="F10" s="201" t="s">
        <v>143</v>
      </c>
      <c r="G10" s="202">
        <v>0</v>
      </c>
      <c r="H10" s="203">
        <v>0</v>
      </c>
      <c r="I10" s="208">
        <v>0</v>
      </c>
      <c r="J10" s="182">
        <f>+G48</f>
        <v>1798493.3222305898</v>
      </c>
    </row>
    <row r="11" spans="1:15" x14ac:dyDescent="0.25">
      <c r="A11" s="167" t="s">
        <v>33</v>
      </c>
      <c r="B11" s="20" t="s">
        <v>51</v>
      </c>
      <c r="C11" s="26" t="s">
        <v>52</v>
      </c>
      <c r="D11" s="26" t="s">
        <v>54</v>
      </c>
      <c r="E11" s="22" t="s">
        <v>60</v>
      </c>
      <c r="F11" s="201" t="s">
        <v>143</v>
      </c>
      <c r="G11" s="202">
        <v>0</v>
      </c>
      <c r="H11" s="203">
        <v>0</v>
      </c>
      <c r="I11" s="208">
        <v>0</v>
      </c>
      <c r="J11" s="182">
        <f>+G54</f>
        <v>1712253.1448866096</v>
      </c>
    </row>
    <row r="12" spans="1:15" x14ac:dyDescent="0.25">
      <c r="A12" s="167" t="s">
        <v>33</v>
      </c>
      <c r="B12" s="20" t="s">
        <v>51</v>
      </c>
      <c r="C12" s="26" t="s">
        <v>52</v>
      </c>
      <c r="D12" s="26" t="s">
        <v>54</v>
      </c>
      <c r="E12" s="22" t="s">
        <v>61</v>
      </c>
      <c r="F12" s="201" t="s">
        <v>143</v>
      </c>
      <c r="G12" s="202">
        <v>0</v>
      </c>
      <c r="H12" s="203">
        <v>0</v>
      </c>
      <c r="I12" s="208">
        <v>0</v>
      </c>
      <c r="J12" s="182">
        <f>+G60</f>
        <v>3158793.7179520093</v>
      </c>
    </row>
    <row r="13" spans="1:15" x14ac:dyDescent="0.25">
      <c r="A13" s="167" t="s">
        <v>33</v>
      </c>
      <c r="B13" s="20" t="s">
        <v>51</v>
      </c>
      <c r="C13" s="26" t="s">
        <v>52</v>
      </c>
      <c r="D13" s="26" t="s">
        <v>54</v>
      </c>
      <c r="E13" s="22" t="s">
        <v>62</v>
      </c>
      <c r="F13" s="201" t="s">
        <v>143</v>
      </c>
      <c r="G13" s="202">
        <v>0</v>
      </c>
      <c r="H13" s="203">
        <v>0</v>
      </c>
      <c r="I13" s="208">
        <v>0</v>
      </c>
      <c r="J13" s="182">
        <f>+G72</f>
        <v>2792501.8707509669</v>
      </c>
      <c r="N13" s="23"/>
      <c r="O13" s="61"/>
    </row>
    <row r="14" spans="1:15" x14ac:dyDescent="0.25">
      <c r="A14" s="167" t="s">
        <v>33</v>
      </c>
      <c r="B14" s="20" t="s">
        <v>51</v>
      </c>
      <c r="C14" s="26" t="s">
        <v>52</v>
      </c>
      <c r="D14" s="26" t="s">
        <v>54</v>
      </c>
      <c r="E14" s="22" t="s">
        <v>100</v>
      </c>
      <c r="F14" s="201" t="s">
        <v>143</v>
      </c>
      <c r="G14" s="202">
        <v>0</v>
      </c>
      <c r="H14" s="203">
        <v>0</v>
      </c>
      <c r="I14" s="208">
        <v>0</v>
      </c>
      <c r="J14" s="182">
        <f>+G84</f>
        <v>2411286.7285360135</v>
      </c>
      <c r="N14" s="23"/>
      <c r="O14" s="25"/>
    </row>
    <row r="15" spans="1:15" x14ac:dyDescent="0.25">
      <c r="A15" s="167" t="s">
        <v>33</v>
      </c>
      <c r="B15" s="20" t="s">
        <v>51</v>
      </c>
      <c r="C15" s="26" t="s">
        <v>52</v>
      </c>
      <c r="D15" s="26" t="s">
        <v>53</v>
      </c>
      <c r="E15" s="22" t="s">
        <v>68</v>
      </c>
      <c r="F15" s="201" t="s">
        <v>143</v>
      </c>
      <c r="G15" s="202">
        <v>4</v>
      </c>
      <c r="H15" s="203">
        <v>0</v>
      </c>
      <c r="I15" s="208">
        <v>0</v>
      </c>
      <c r="J15" s="182">
        <f>+H36</f>
        <v>679118.04831548152</v>
      </c>
      <c r="N15" s="23"/>
      <c r="O15" s="25"/>
    </row>
    <row r="16" spans="1:15" x14ac:dyDescent="0.25">
      <c r="A16" s="167" t="s">
        <v>33</v>
      </c>
      <c r="B16" s="20" t="s">
        <v>51</v>
      </c>
      <c r="C16" s="26" t="s">
        <v>52</v>
      </c>
      <c r="D16" s="26" t="s">
        <v>53</v>
      </c>
      <c r="E16" s="22" t="s">
        <v>55</v>
      </c>
      <c r="F16" s="201" t="s">
        <v>143</v>
      </c>
      <c r="G16" s="202">
        <v>4</v>
      </c>
      <c r="H16" s="203">
        <v>0</v>
      </c>
      <c r="I16" s="208">
        <v>0</v>
      </c>
      <c r="J16" s="182">
        <f>+H37</f>
        <v>1365034.8228702103</v>
      </c>
    </row>
    <row r="17" spans="1:18" x14ac:dyDescent="0.25">
      <c r="A17" s="167" t="s">
        <v>33</v>
      </c>
      <c r="B17" s="20" t="s">
        <v>51</v>
      </c>
      <c r="C17" s="26" t="s">
        <v>52</v>
      </c>
      <c r="D17" s="26" t="s">
        <v>53</v>
      </c>
      <c r="E17" s="22" t="s">
        <v>56</v>
      </c>
      <c r="F17" s="201" t="s">
        <v>143</v>
      </c>
      <c r="G17" s="202">
        <v>4</v>
      </c>
      <c r="H17" s="203">
        <v>0</v>
      </c>
      <c r="I17" s="208">
        <v>0</v>
      </c>
      <c r="J17" s="182">
        <f>+H39</f>
        <v>2064662.6140359538</v>
      </c>
    </row>
    <row r="18" spans="1:18" x14ac:dyDescent="0.25">
      <c r="A18" s="167" t="s">
        <v>33</v>
      </c>
      <c r="B18" s="20" t="s">
        <v>51</v>
      </c>
      <c r="C18" s="26" t="s">
        <v>52</v>
      </c>
      <c r="D18" s="26" t="s">
        <v>53</v>
      </c>
      <c r="E18" s="22" t="s">
        <v>57</v>
      </c>
      <c r="F18" s="201" t="s">
        <v>143</v>
      </c>
      <c r="G18" s="202">
        <v>4</v>
      </c>
      <c r="H18" s="203">
        <v>0</v>
      </c>
      <c r="I18" s="208">
        <v>0</v>
      </c>
      <c r="J18" s="182">
        <f>+H42</f>
        <v>2085378.1387324336</v>
      </c>
    </row>
    <row r="19" spans="1:18" x14ac:dyDescent="0.25">
      <c r="A19" s="167" t="s">
        <v>33</v>
      </c>
      <c r="B19" s="20" t="s">
        <v>51</v>
      </c>
      <c r="C19" s="26" t="s">
        <v>52</v>
      </c>
      <c r="D19" s="26" t="s">
        <v>53</v>
      </c>
      <c r="E19" s="22" t="s">
        <v>58</v>
      </c>
      <c r="F19" s="201" t="s">
        <v>143</v>
      </c>
      <c r="G19" s="202">
        <v>4</v>
      </c>
      <c r="H19" s="203">
        <v>0</v>
      </c>
      <c r="I19" s="208">
        <v>0</v>
      </c>
      <c r="J19" s="182">
        <f>+H45</f>
        <v>2106301.5099606095</v>
      </c>
    </row>
    <row r="20" spans="1:18" x14ac:dyDescent="0.25">
      <c r="A20" s="167" t="s">
        <v>33</v>
      </c>
      <c r="B20" s="20" t="s">
        <v>51</v>
      </c>
      <c r="C20" s="26" t="s">
        <v>52</v>
      </c>
      <c r="D20" s="26" t="s">
        <v>53</v>
      </c>
      <c r="E20" s="22" t="s">
        <v>59</v>
      </c>
      <c r="F20" s="201" t="s">
        <v>143</v>
      </c>
      <c r="G20" s="202">
        <v>4</v>
      </c>
      <c r="H20" s="203">
        <v>0</v>
      </c>
      <c r="I20" s="208">
        <v>0</v>
      </c>
      <c r="J20" s="182">
        <f>+H48</f>
        <v>4276214.9676622991</v>
      </c>
    </row>
    <row r="21" spans="1:18" x14ac:dyDescent="0.25">
      <c r="A21" s="167" t="s">
        <v>33</v>
      </c>
      <c r="B21" s="20" t="s">
        <v>51</v>
      </c>
      <c r="C21" s="26" t="s">
        <v>52</v>
      </c>
      <c r="D21" s="26" t="s">
        <v>53</v>
      </c>
      <c r="E21" s="22" t="s">
        <v>60</v>
      </c>
      <c r="F21" s="201" t="s">
        <v>143</v>
      </c>
      <c r="G21" s="202">
        <v>4</v>
      </c>
      <c r="H21" s="203">
        <v>0</v>
      </c>
      <c r="I21" s="208">
        <v>0</v>
      </c>
      <c r="J21" s="182">
        <f>+H54</f>
        <v>4362455.1450062795</v>
      </c>
    </row>
    <row r="22" spans="1:18" x14ac:dyDescent="0.25">
      <c r="A22" s="167" t="s">
        <v>33</v>
      </c>
      <c r="B22" s="20" t="s">
        <v>51</v>
      </c>
      <c r="C22" s="26" t="s">
        <v>52</v>
      </c>
      <c r="D22" s="26" t="s">
        <v>53</v>
      </c>
      <c r="E22" s="22" t="s">
        <v>61</v>
      </c>
      <c r="F22" s="201" t="s">
        <v>143</v>
      </c>
      <c r="G22" s="202">
        <v>4</v>
      </c>
      <c r="H22" s="203">
        <v>0</v>
      </c>
      <c r="I22" s="208">
        <v>0</v>
      </c>
      <c r="J22" s="182">
        <f>+H60</f>
        <v>8990622.861833768</v>
      </c>
    </row>
    <row r="23" spans="1:18" x14ac:dyDescent="0.25">
      <c r="A23" s="167" t="s">
        <v>33</v>
      </c>
      <c r="B23" s="20" t="s">
        <v>51</v>
      </c>
      <c r="C23" s="26" t="s">
        <v>52</v>
      </c>
      <c r="D23" s="26" t="s">
        <v>53</v>
      </c>
      <c r="E23" s="22" t="s">
        <v>62</v>
      </c>
      <c r="F23" s="201" t="s">
        <v>143</v>
      </c>
      <c r="G23" s="202">
        <v>4</v>
      </c>
      <c r="H23" s="203">
        <v>0</v>
      </c>
      <c r="I23" s="208">
        <v>0</v>
      </c>
      <c r="J23" s="182">
        <f>+H72</f>
        <v>9356914.7090348117</v>
      </c>
    </row>
    <row r="24" spans="1:18" ht="13.8" thickBot="1" x14ac:dyDescent="0.3">
      <c r="A24" s="180" t="s">
        <v>33</v>
      </c>
      <c r="B24" s="60" t="s">
        <v>51</v>
      </c>
      <c r="C24" s="60" t="s">
        <v>52</v>
      </c>
      <c r="D24" s="60" t="s">
        <v>53</v>
      </c>
      <c r="E24" s="60" t="s">
        <v>100</v>
      </c>
      <c r="F24" s="215" t="s">
        <v>143</v>
      </c>
      <c r="G24" s="216">
        <v>4</v>
      </c>
      <c r="H24" s="216">
        <v>0</v>
      </c>
      <c r="I24" s="212">
        <v>0</v>
      </c>
      <c r="J24" s="184">
        <f>+H84+B96</f>
        <v>64713297.182548165</v>
      </c>
    </row>
    <row r="25" spans="1:18" ht="13.8" thickTop="1" x14ac:dyDescent="0.25">
      <c r="E25" s="63"/>
      <c r="F25" s="63"/>
      <c r="G25" s="63"/>
      <c r="H25" s="63"/>
      <c r="I25" s="63"/>
    </row>
    <row r="26" spans="1:18" x14ac:dyDescent="0.25">
      <c r="A26" s="41" t="s">
        <v>34</v>
      </c>
      <c r="B26" s="42" t="s">
        <v>105</v>
      </c>
      <c r="E26" s="63"/>
      <c r="F26" s="63"/>
      <c r="G26" s="63"/>
      <c r="H26" s="63"/>
      <c r="I26" s="63"/>
    </row>
    <row r="27" spans="1:18" x14ac:dyDescent="0.25">
      <c r="A27" s="41" t="s">
        <v>16</v>
      </c>
      <c r="B27" s="42" t="s">
        <v>33</v>
      </c>
      <c r="E27" s="63"/>
      <c r="F27" s="63"/>
      <c r="G27" s="63"/>
      <c r="H27" s="63"/>
      <c r="I27" s="63"/>
      <c r="K27" s="95"/>
      <c r="L27" s="95"/>
      <c r="M27" s="95"/>
      <c r="N27" s="95"/>
      <c r="O27" s="95"/>
      <c r="P27" s="95"/>
      <c r="Q27" s="95"/>
      <c r="R27" s="95"/>
    </row>
    <row r="28" spans="1:18" x14ac:dyDescent="0.25">
      <c r="A28" s="41" t="s">
        <v>79</v>
      </c>
      <c r="B28" s="42" t="s">
        <v>90</v>
      </c>
      <c r="K28" s="95"/>
      <c r="L28" s="95"/>
      <c r="M28" s="95"/>
      <c r="N28" s="95"/>
      <c r="O28" s="95"/>
      <c r="P28" s="95"/>
      <c r="Q28" s="95"/>
      <c r="R28" s="95"/>
    </row>
    <row r="29" spans="1:18" x14ac:dyDescent="0.25">
      <c r="A29" s="41" t="s">
        <v>38</v>
      </c>
      <c r="B29" s="74">
        <v>0.04</v>
      </c>
      <c r="C29" s="75">
        <f>+B29/12</f>
        <v>3.3333333333333335E-3</v>
      </c>
      <c r="K29" s="95"/>
      <c r="L29" s="95"/>
      <c r="M29" s="95"/>
      <c r="N29" s="95"/>
      <c r="O29" s="95"/>
      <c r="P29" s="95"/>
      <c r="Q29" s="95"/>
      <c r="R29" s="95"/>
    </row>
    <row r="30" spans="1:18" x14ac:dyDescent="0.25">
      <c r="A30" s="41" t="s">
        <v>108</v>
      </c>
      <c r="B30" s="74" t="s">
        <v>103</v>
      </c>
      <c r="C30" s="75"/>
      <c r="K30" s="95"/>
      <c r="L30" s="95"/>
      <c r="M30" s="95"/>
      <c r="N30" s="95"/>
      <c r="O30" s="95"/>
      <c r="P30" s="95"/>
      <c r="Q30" s="95"/>
      <c r="R30" s="95"/>
    </row>
    <row r="31" spans="1:18" x14ac:dyDescent="0.25">
      <c r="A31" s="41" t="s">
        <v>106</v>
      </c>
      <c r="B31" s="42" t="s">
        <v>102</v>
      </c>
      <c r="D31" s="70"/>
      <c r="K31" s="95"/>
      <c r="L31" s="95"/>
      <c r="M31" s="95"/>
      <c r="N31" s="95"/>
      <c r="O31" s="95"/>
      <c r="P31" s="95"/>
      <c r="Q31" s="95"/>
      <c r="R31" s="95"/>
    </row>
    <row r="32" spans="1:18" x14ac:dyDescent="0.25">
      <c r="A32" s="41" t="s">
        <v>35</v>
      </c>
      <c r="B32" s="42" t="s">
        <v>64</v>
      </c>
      <c r="I32" s="16"/>
      <c r="J32" s="25"/>
      <c r="K32" s="95"/>
      <c r="L32" s="95"/>
      <c r="M32" s="95"/>
      <c r="N32" s="95"/>
      <c r="O32" s="95"/>
      <c r="P32" s="95"/>
      <c r="Q32" s="95"/>
      <c r="R32" s="95"/>
    </row>
    <row r="33" spans="1:18" ht="27.75" customHeight="1" thickBot="1" x14ac:dyDescent="0.3">
      <c r="H33" s="73"/>
      <c r="J33" s="25"/>
      <c r="K33" s="95"/>
      <c r="L33" s="95"/>
      <c r="M33" s="95"/>
      <c r="N33" s="95"/>
      <c r="O33" s="95"/>
      <c r="P33" s="95"/>
      <c r="Q33" s="95"/>
      <c r="R33" s="95"/>
    </row>
    <row r="34" spans="1:18" x14ac:dyDescent="0.25">
      <c r="A34" s="261" t="s">
        <v>112</v>
      </c>
      <c r="B34" s="262"/>
      <c r="C34" s="262"/>
      <c r="D34" s="262"/>
      <c r="E34" s="263"/>
      <c r="F34" s="264" t="s">
        <v>99</v>
      </c>
      <c r="G34" s="265"/>
      <c r="H34" s="265"/>
      <c r="K34" s="95"/>
      <c r="L34" s="95"/>
      <c r="M34" s="95"/>
      <c r="N34" s="95"/>
      <c r="O34" s="95"/>
      <c r="P34" s="95"/>
    </row>
    <row r="35" spans="1:18" s="95" customFormat="1" ht="13.8" thickBot="1" x14ac:dyDescent="0.3">
      <c r="A35" s="96" t="s">
        <v>89</v>
      </c>
      <c r="B35" s="96" t="s">
        <v>94</v>
      </c>
      <c r="C35" s="97" t="s">
        <v>95</v>
      </c>
      <c r="D35" s="97" t="s">
        <v>38</v>
      </c>
      <c r="E35" s="99" t="s">
        <v>96</v>
      </c>
      <c r="F35" s="47" t="s">
        <v>86</v>
      </c>
      <c r="G35" s="48" t="s">
        <v>38</v>
      </c>
      <c r="H35" s="49" t="s">
        <v>96</v>
      </c>
      <c r="J35"/>
    </row>
    <row r="36" spans="1:18" s="95" customFormat="1" ht="13.8" thickBot="1" x14ac:dyDescent="0.3">
      <c r="A36" s="68">
        <v>1</v>
      </c>
      <c r="B36" s="66">
        <v>100000000</v>
      </c>
      <c r="C36" s="64">
        <f t="shared" ref="C36:C67" si="0">+-PMT($C$29,120,+$B$36)</f>
        <v>1012451.3816488149</v>
      </c>
      <c r="D36" s="44">
        <f t="shared" ref="D36:D67" si="1">+B36*$C$29</f>
        <v>333333.33333333337</v>
      </c>
      <c r="E36" s="65">
        <f>+C36-D36</f>
        <v>679118.04831548152</v>
      </c>
      <c r="F36" s="87">
        <f t="shared" ref="F36:F67" si="2">+A36/12</f>
        <v>8.3333333333333329E-2</v>
      </c>
      <c r="G36" s="194">
        <f>+D36</f>
        <v>333333.33333333337</v>
      </c>
      <c r="H36" s="195">
        <f>+E36</f>
        <v>679118.04831548152</v>
      </c>
      <c r="J36"/>
    </row>
    <row r="37" spans="1:18" x14ac:dyDescent="0.25">
      <c r="A37" s="68">
        <v>2</v>
      </c>
      <c r="B37" s="66">
        <f>+B36-E36</f>
        <v>99320881.95168452</v>
      </c>
      <c r="C37" s="64">
        <f t="shared" si="0"/>
        <v>1012451.3816488149</v>
      </c>
      <c r="D37" s="44">
        <f t="shared" si="1"/>
        <v>331069.60650561511</v>
      </c>
      <c r="E37" s="65">
        <f>+C37-D37</f>
        <v>681381.77514319983</v>
      </c>
      <c r="F37" s="89">
        <f t="shared" si="2"/>
        <v>0.16666666666666666</v>
      </c>
      <c r="G37" s="255">
        <f>+D37+D38</f>
        <v>659867.9404274195</v>
      </c>
      <c r="H37" s="258">
        <f>+E37+E38</f>
        <v>1365034.8228702103</v>
      </c>
      <c r="I37" s="95"/>
      <c r="K37" s="95"/>
      <c r="L37" s="95"/>
      <c r="M37" s="95"/>
      <c r="N37" s="95"/>
    </row>
    <row r="38" spans="1:18" ht="13.8" thickBot="1" x14ac:dyDescent="0.3">
      <c r="A38" s="68">
        <v>3</v>
      </c>
      <c r="B38" s="66">
        <f t="shared" ref="B38:B101" si="3">+B37-E37</f>
        <v>98639500.176541314</v>
      </c>
      <c r="C38" s="64">
        <f t="shared" si="0"/>
        <v>1012451.3816488149</v>
      </c>
      <c r="D38" s="44">
        <f t="shared" si="1"/>
        <v>328798.33392180438</v>
      </c>
      <c r="E38" s="65">
        <f t="shared" ref="E38:E101" si="4">+C38-D38</f>
        <v>683653.04772701045</v>
      </c>
      <c r="F38" s="90">
        <f t="shared" si="2"/>
        <v>0.25</v>
      </c>
      <c r="G38" s="257"/>
      <c r="H38" s="260"/>
      <c r="I38" s="95"/>
      <c r="K38" s="95"/>
      <c r="L38" s="95"/>
      <c r="M38" s="95"/>
      <c r="N38" s="95"/>
    </row>
    <row r="39" spans="1:18" x14ac:dyDescent="0.25">
      <c r="A39" s="68">
        <v>4</v>
      </c>
      <c r="B39" s="66">
        <f t="shared" si="3"/>
        <v>97955847.12881431</v>
      </c>
      <c r="C39" s="64">
        <f t="shared" si="0"/>
        <v>1012451.3816488149</v>
      </c>
      <c r="D39" s="44">
        <f t="shared" si="1"/>
        <v>326519.49042938103</v>
      </c>
      <c r="E39" s="65">
        <f t="shared" si="4"/>
        <v>685931.89121943386</v>
      </c>
      <c r="F39" s="89">
        <f t="shared" si="2"/>
        <v>0.33333333333333331</v>
      </c>
      <c r="G39" s="255">
        <f>+D39+D40+D41</f>
        <v>972691.53091049078</v>
      </c>
      <c r="H39" s="258">
        <f>+E39+E40+E41</f>
        <v>2064662.6140359538</v>
      </c>
      <c r="I39" s="95"/>
      <c r="K39" s="95"/>
      <c r="L39" s="95"/>
      <c r="M39" s="95"/>
      <c r="N39" s="95"/>
    </row>
    <row r="40" spans="1:18" x14ac:dyDescent="0.25">
      <c r="A40" s="68">
        <v>5</v>
      </c>
      <c r="B40" s="66">
        <f t="shared" si="3"/>
        <v>97269915.237594873</v>
      </c>
      <c r="C40" s="64">
        <f t="shared" si="0"/>
        <v>1012451.3816488149</v>
      </c>
      <c r="D40" s="44">
        <f t="shared" si="1"/>
        <v>324233.05079198291</v>
      </c>
      <c r="E40" s="65">
        <f t="shared" si="4"/>
        <v>688218.33085683198</v>
      </c>
      <c r="F40" s="91">
        <f t="shared" si="2"/>
        <v>0.41666666666666669</v>
      </c>
      <c r="G40" s="256"/>
      <c r="H40" s="259"/>
      <c r="I40" s="95"/>
      <c r="K40" s="95"/>
      <c r="L40" s="95"/>
      <c r="M40" s="95"/>
      <c r="N40" s="95"/>
    </row>
    <row r="41" spans="1:18" ht="13.8" thickBot="1" x14ac:dyDescent="0.3">
      <c r="A41" s="68">
        <v>6</v>
      </c>
      <c r="B41" s="66">
        <f t="shared" si="3"/>
        <v>96581696.906738043</v>
      </c>
      <c r="C41" s="64">
        <f t="shared" si="0"/>
        <v>1012451.3816488149</v>
      </c>
      <c r="D41" s="44">
        <f t="shared" si="1"/>
        <v>321938.98968912684</v>
      </c>
      <c r="E41" s="65">
        <f t="shared" si="4"/>
        <v>690512.39195968804</v>
      </c>
      <c r="F41" s="90">
        <f t="shared" si="2"/>
        <v>0.5</v>
      </c>
      <c r="G41" s="257"/>
      <c r="H41" s="260"/>
    </row>
    <row r="42" spans="1:18" x14ac:dyDescent="0.25">
      <c r="A42" s="68">
        <v>7</v>
      </c>
      <c r="B42" s="66">
        <f t="shared" si="3"/>
        <v>95891184.514778361</v>
      </c>
      <c r="C42" s="64">
        <f t="shared" si="0"/>
        <v>1012451.3816488149</v>
      </c>
      <c r="D42" s="44">
        <f t="shared" si="1"/>
        <v>319637.28171592788</v>
      </c>
      <c r="E42" s="65">
        <f t="shared" si="4"/>
        <v>692814.09993288701</v>
      </c>
      <c r="F42" s="89">
        <f t="shared" si="2"/>
        <v>0.58333333333333337</v>
      </c>
      <c r="G42" s="255">
        <f>+D42+D43+D44</f>
        <v>951976.00621401099</v>
      </c>
      <c r="H42" s="258">
        <f>+E42+E43+E44</f>
        <v>2085378.1387324336</v>
      </c>
    </row>
    <row r="43" spans="1:18" x14ac:dyDescent="0.25">
      <c r="A43" s="68">
        <v>8</v>
      </c>
      <c r="B43" s="66">
        <f t="shared" si="3"/>
        <v>95198370.414845467</v>
      </c>
      <c r="C43" s="64">
        <f t="shared" si="0"/>
        <v>1012451.3816488149</v>
      </c>
      <c r="D43" s="44">
        <f t="shared" si="1"/>
        <v>317327.90138281824</v>
      </c>
      <c r="E43" s="65">
        <f t="shared" si="4"/>
        <v>695123.48026599665</v>
      </c>
      <c r="F43" s="91">
        <f t="shared" si="2"/>
        <v>0.66666666666666663</v>
      </c>
      <c r="G43" s="256"/>
      <c r="H43" s="259"/>
    </row>
    <row r="44" spans="1:18" ht="13.8" thickBot="1" x14ac:dyDescent="0.3">
      <c r="A44" s="68">
        <v>9</v>
      </c>
      <c r="B44" s="66">
        <f t="shared" si="3"/>
        <v>94503246.934579477</v>
      </c>
      <c r="C44" s="64">
        <f t="shared" si="0"/>
        <v>1012451.3816488149</v>
      </c>
      <c r="D44" s="44">
        <f t="shared" si="1"/>
        <v>315010.82311526494</v>
      </c>
      <c r="E44" s="65">
        <f t="shared" si="4"/>
        <v>697440.55853355001</v>
      </c>
      <c r="F44" s="90">
        <f t="shared" si="2"/>
        <v>0.75</v>
      </c>
      <c r="G44" s="257"/>
      <c r="H44" s="260"/>
    </row>
    <row r="45" spans="1:18" x14ac:dyDescent="0.25">
      <c r="A45" s="68">
        <v>10</v>
      </c>
      <c r="B45" s="66">
        <f t="shared" si="3"/>
        <v>93805806.376045927</v>
      </c>
      <c r="C45" s="64">
        <f t="shared" si="0"/>
        <v>1012451.3816488149</v>
      </c>
      <c r="D45" s="44">
        <f t="shared" si="1"/>
        <v>312686.02125348645</v>
      </c>
      <c r="E45" s="65">
        <f t="shared" si="4"/>
        <v>699765.36039532837</v>
      </c>
      <c r="F45" s="92">
        <f t="shared" si="2"/>
        <v>0.83333333333333337</v>
      </c>
      <c r="G45" s="255">
        <f>+D45+D46+D47</f>
        <v>931052.63498583506</v>
      </c>
      <c r="H45" s="258">
        <f>+E45+E46+E47</f>
        <v>2106301.5099606095</v>
      </c>
    </row>
    <row r="46" spans="1:18" x14ac:dyDescent="0.25">
      <c r="A46" s="68">
        <v>11</v>
      </c>
      <c r="B46" s="66">
        <f t="shared" si="3"/>
        <v>93106041.0156506</v>
      </c>
      <c r="C46" s="64">
        <f t="shared" si="0"/>
        <v>1012451.3816488149</v>
      </c>
      <c r="D46" s="44">
        <f t="shared" si="1"/>
        <v>310353.4700521687</v>
      </c>
      <c r="E46" s="65">
        <f t="shared" si="4"/>
        <v>702097.91159664618</v>
      </c>
      <c r="F46" s="93">
        <f t="shared" si="2"/>
        <v>0.91666666666666663</v>
      </c>
      <c r="G46" s="256"/>
      <c r="H46" s="259"/>
    </row>
    <row r="47" spans="1:18" ht="13.8" thickBot="1" x14ac:dyDescent="0.3">
      <c r="A47" s="68">
        <v>12</v>
      </c>
      <c r="B47" s="66">
        <f t="shared" si="3"/>
        <v>92403943.104053959</v>
      </c>
      <c r="C47" s="64">
        <f t="shared" si="0"/>
        <v>1012451.3816488149</v>
      </c>
      <c r="D47" s="44">
        <f t="shared" si="1"/>
        <v>308013.1436801799</v>
      </c>
      <c r="E47" s="65">
        <f t="shared" si="4"/>
        <v>704438.23796863505</v>
      </c>
      <c r="F47" s="94">
        <f t="shared" si="2"/>
        <v>1</v>
      </c>
      <c r="G47" s="257"/>
      <c r="H47" s="260"/>
    </row>
    <row r="48" spans="1:18" x14ac:dyDescent="0.25">
      <c r="A48" s="68">
        <v>13</v>
      </c>
      <c r="B48" s="66">
        <f t="shared" si="3"/>
        <v>91699504.866085321</v>
      </c>
      <c r="C48" s="64">
        <f t="shared" si="0"/>
        <v>1012451.3816488149</v>
      </c>
      <c r="D48" s="44">
        <f t="shared" si="1"/>
        <v>305665.01622028439</v>
      </c>
      <c r="E48" s="65">
        <f t="shared" si="4"/>
        <v>706786.36542853049</v>
      </c>
      <c r="F48" s="92">
        <f t="shared" si="2"/>
        <v>1.0833333333333333</v>
      </c>
      <c r="G48" s="249">
        <f>+SUM(D48:D53)</f>
        <v>1798493.3222305898</v>
      </c>
      <c r="H48" s="252">
        <f>+SUM(E48:E53)</f>
        <v>4276214.9676622991</v>
      </c>
    </row>
    <row r="49" spans="1:8" x14ac:dyDescent="0.25">
      <c r="A49" s="68">
        <v>14</v>
      </c>
      <c r="B49" s="66">
        <f t="shared" si="3"/>
        <v>90992718.500656784</v>
      </c>
      <c r="C49" s="64">
        <f t="shared" si="0"/>
        <v>1012451.3816488149</v>
      </c>
      <c r="D49" s="44">
        <f t="shared" si="1"/>
        <v>303309.06166885595</v>
      </c>
      <c r="E49" s="65">
        <f t="shared" si="4"/>
        <v>709142.31997995893</v>
      </c>
      <c r="F49" s="93">
        <f t="shared" si="2"/>
        <v>1.1666666666666667</v>
      </c>
      <c r="G49" s="250"/>
      <c r="H49" s="253"/>
    </row>
    <row r="50" spans="1:8" x14ac:dyDescent="0.25">
      <c r="A50" s="68">
        <v>15</v>
      </c>
      <c r="B50" s="66">
        <f t="shared" si="3"/>
        <v>90283576.180676818</v>
      </c>
      <c r="C50" s="64">
        <f t="shared" si="0"/>
        <v>1012451.3816488149</v>
      </c>
      <c r="D50" s="44">
        <f t="shared" si="1"/>
        <v>300945.2539355894</v>
      </c>
      <c r="E50" s="65">
        <f t="shared" si="4"/>
        <v>711506.12771322555</v>
      </c>
      <c r="F50" s="93">
        <f t="shared" si="2"/>
        <v>1.25</v>
      </c>
      <c r="G50" s="250"/>
      <c r="H50" s="253"/>
    </row>
    <row r="51" spans="1:8" x14ac:dyDescent="0.25">
      <c r="A51" s="68">
        <v>16</v>
      </c>
      <c r="B51" s="66">
        <f t="shared" si="3"/>
        <v>89572070.0529636</v>
      </c>
      <c r="C51" s="64">
        <f t="shared" si="0"/>
        <v>1012451.3816488149</v>
      </c>
      <c r="D51" s="44">
        <f t="shared" si="1"/>
        <v>298573.566843212</v>
      </c>
      <c r="E51" s="65">
        <f t="shared" si="4"/>
        <v>713877.81480560289</v>
      </c>
      <c r="F51" s="93">
        <f t="shared" si="2"/>
        <v>1.3333333333333333</v>
      </c>
      <c r="G51" s="250"/>
      <c r="H51" s="253"/>
    </row>
    <row r="52" spans="1:8" x14ac:dyDescent="0.25">
      <c r="A52" s="68">
        <v>17</v>
      </c>
      <c r="B52" s="66">
        <f t="shared" si="3"/>
        <v>88858192.238158002</v>
      </c>
      <c r="C52" s="64">
        <f t="shared" si="0"/>
        <v>1012451.3816488149</v>
      </c>
      <c r="D52" s="44">
        <f t="shared" si="1"/>
        <v>296193.97412719339</v>
      </c>
      <c r="E52" s="65">
        <f t="shared" si="4"/>
        <v>716257.40752162156</v>
      </c>
      <c r="F52" s="93">
        <f t="shared" si="2"/>
        <v>1.4166666666666667</v>
      </c>
      <c r="G52" s="250"/>
      <c r="H52" s="253"/>
    </row>
    <row r="53" spans="1:8" ht="13.8" thickBot="1" x14ac:dyDescent="0.3">
      <c r="A53" s="68">
        <v>18</v>
      </c>
      <c r="B53" s="66">
        <f t="shared" si="3"/>
        <v>88141934.830636382</v>
      </c>
      <c r="C53" s="64">
        <f t="shared" si="0"/>
        <v>1012451.3816488149</v>
      </c>
      <c r="D53" s="44">
        <f t="shared" si="1"/>
        <v>293806.44943545462</v>
      </c>
      <c r="E53" s="65">
        <f t="shared" si="4"/>
        <v>718644.93221336021</v>
      </c>
      <c r="F53" s="94">
        <f t="shared" si="2"/>
        <v>1.5</v>
      </c>
      <c r="G53" s="251"/>
      <c r="H53" s="254"/>
    </row>
    <row r="54" spans="1:8" x14ac:dyDescent="0.25">
      <c r="A54" s="68">
        <v>19</v>
      </c>
      <c r="B54" s="66">
        <f t="shared" si="3"/>
        <v>87423289.898423016</v>
      </c>
      <c r="C54" s="64">
        <f t="shared" si="0"/>
        <v>1012451.3816488149</v>
      </c>
      <c r="D54" s="44">
        <f t="shared" si="1"/>
        <v>291410.96632807673</v>
      </c>
      <c r="E54" s="65">
        <f t="shared" si="4"/>
        <v>721040.41532073822</v>
      </c>
      <c r="F54" s="92">
        <f t="shared" si="2"/>
        <v>1.5833333333333333</v>
      </c>
      <c r="G54" s="249">
        <f>+SUM(D54:D59)</f>
        <v>1712253.1448866096</v>
      </c>
      <c r="H54" s="252">
        <f>+SUM(E54:E59)</f>
        <v>4362455.1450062795</v>
      </c>
    </row>
    <row r="55" spans="1:8" x14ac:dyDescent="0.25">
      <c r="A55" s="68">
        <v>20</v>
      </c>
      <c r="B55" s="66">
        <f t="shared" si="3"/>
        <v>86702249.483102277</v>
      </c>
      <c r="C55" s="64">
        <f t="shared" si="0"/>
        <v>1012451.3816488149</v>
      </c>
      <c r="D55" s="44">
        <f t="shared" si="1"/>
        <v>289007.4982770076</v>
      </c>
      <c r="E55" s="65">
        <f t="shared" si="4"/>
        <v>723443.88337180729</v>
      </c>
      <c r="F55" s="93">
        <f t="shared" si="2"/>
        <v>1.6666666666666667</v>
      </c>
      <c r="G55" s="250"/>
      <c r="H55" s="253"/>
    </row>
    <row r="56" spans="1:8" x14ac:dyDescent="0.25">
      <c r="A56" s="68">
        <v>21</v>
      </c>
      <c r="B56" s="66">
        <f t="shared" si="3"/>
        <v>85978805.599730477</v>
      </c>
      <c r="C56" s="64">
        <f t="shared" si="0"/>
        <v>1012451.3816488149</v>
      </c>
      <c r="D56" s="44">
        <f t="shared" si="1"/>
        <v>286596.01866576826</v>
      </c>
      <c r="E56" s="65">
        <f t="shared" si="4"/>
        <v>725855.36298304657</v>
      </c>
      <c r="F56" s="93">
        <f t="shared" si="2"/>
        <v>1.75</v>
      </c>
      <c r="G56" s="250"/>
      <c r="H56" s="253"/>
    </row>
    <row r="57" spans="1:8" x14ac:dyDescent="0.25">
      <c r="A57" s="68">
        <v>22</v>
      </c>
      <c r="B57" s="66">
        <f t="shared" si="3"/>
        <v>85252950.236747429</v>
      </c>
      <c r="C57" s="64">
        <f t="shared" si="0"/>
        <v>1012451.3816488149</v>
      </c>
      <c r="D57" s="44">
        <f t="shared" si="1"/>
        <v>284176.5007891581</v>
      </c>
      <c r="E57" s="65">
        <f t="shared" si="4"/>
        <v>728274.88085965673</v>
      </c>
      <c r="F57" s="93">
        <f t="shared" si="2"/>
        <v>1.8333333333333333</v>
      </c>
      <c r="G57" s="250"/>
      <c r="H57" s="253"/>
    </row>
    <row r="58" spans="1:8" x14ac:dyDescent="0.25">
      <c r="A58" s="68">
        <v>23</v>
      </c>
      <c r="B58" s="66">
        <f t="shared" si="3"/>
        <v>84524675.355887771</v>
      </c>
      <c r="C58" s="64">
        <f t="shared" si="0"/>
        <v>1012451.3816488149</v>
      </c>
      <c r="D58" s="44">
        <f t="shared" si="1"/>
        <v>281748.91785295925</v>
      </c>
      <c r="E58" s="65">
        <f t="shared" si="4"/>
        <v>730702.46379585564</v>
      </c>
      <c r="F58" s="93">
        <f t="shared" si="2"/>
        <v>1.9166666666666667</v>
      </c>
      <c r="G58" s="250"/>
      <c r="H58" s="253"/>
    </row>
    <row r="59" spans="1:8" ht="13.8" thickBot="1" x14ac:dyDescent="0.3">
      <c r="A59" s="68">
        <v>24</v>
      </c>
      <c r="B59" s="66">
        <f t="shared" si="3"/>
        <v>83793972.892091915</v>
      </c>
      <c r="C59" s="64">
        <f t="shared" si="0"/>
        <v>1012451.3816488149</v>
      </c>
      <c r="D59" s="44">
        <f t="shared" si="1"/>
        <v>279313.24297363975</v>
      </c>
      <c r="E59" s="65">
        <f t="shared" si="4"/>
        <v>733138.13867517514</v>
      </c>
      <c r="F59" s="94">
        <f t="shared" si="2"/>
        <v>2</v>
      </c>
      <c r="G59" s="251"/>
      <c r="H59" s="254"/>
    </row>
    <row r="60" spans="1:8" x14ac:dyDescent="0.25">
      <c r="A60" s="68">
        <v>25</v>
      </c>
      <c r="B60" s="66">
        <f t="shared" si="3"/>
        <v>83060834.753416747</v>
      </c>
      <c r="C60" s="64">
        <f t="shared" si="0"/>
        <v>1012451.3816488149</v>
      </c>
      <c r="D60" s="44">
        <f t="shared" si="1"/>
        <v>276869.44917805586</v>
      </c>
      <c r="E60" s="65">
        <f t="shared" si="4"/>
        <v>735581.93247075903</v>
      </c>
      <c r="F60" s="92">
        <f t="shared" si="2"/>
        <v>2.0833333333333335</v>
      </c>
      <c r="G60" s="249">
        <f>+SUM(D60:D71)</f>
        <v>3158793.7179520093</v>
      </c>
      <c r="H60" s="252">
        <f>+SUM(E60:E71)</f>
        <v>8990622.861833768</v>
      </c>
    </row>
    <row r="61" spans="1:8" x14ac:dyDescent="0.25">
      <c r="A61" s="68">
        <v>26</v>
      </c>
      <c r="B61" s="66">
        <f t="shared" si="3"/>
        <v>82325252.820945993</v>
      </c>
      <c r="C61" s="64">
        <f t="shared" si="0"/>
        <v>1012451.3816488149</v>
      </c>
      <c r="D61" s="44">
        <f t="shared" si="1"/>
        <v>274417.50940315332</v>
      </c>
      <c r="E61" s="65">
        <f t="shared" si="4"/>
        <v>738033.87224566157</v>
      </c>
      <c r="F61" s="93">
        <f t="shared" si="2"/>
        <v>2.1666666666666665</v>
      </c>
      <c r="G61" s="250"/>
      <c r="H61" s="253"/>
    </row>
    <row r="62" spans="1:8" x14ac:dyDescent="0.25">
      <c r="A62" s="68">
        <v>27</v>
      </c>
      <c r="B62" s="66">
        <f t="shared" si="3"/>
        <v>81587218.948700339</v>
      </c>
      <c r="C62" s="64">
        <f t="shared" si="0"/>
        <v>1012451.3816488149</v>
      </c>
      <c r="D62" s="44">
        <f t="shared" si="1"/>
        <v>271957.39649566781</v>
      </c>
      <c r="E62" s="65">
        <f t="shared" si="4"/>
        <v>740493.98515314702</v>
      </c>
      <c r="F62" s="93">
        <f t="shared" si="2"/>
        <v>2.25</v>
      </c>
      <c r="G62" s="250"/>
      <c r="H62" s="253"/>
    </row>
    <row r="63" spans="1:8" x14ac:dyDescent="0.25">
      <c r="A63" s="68">
        <v>28</v>
      </c>
      <c r="B63" s="66">
        <f t="shared" si="3"/>
        <v>80846724.963547185</v>
      </c>
      <c r="C63" s="64">
        <f t="shared" si="0"/>
        <v>1012451.3816488149</v>
      </c>
      <c r="D63" s="44">
        <f t="shared" si="1"/>
        <v>269489.08321182395</v>
      </c>
      <c r="E63" s="65">
        <f t="shared" si="4"/>
        <v>742962.29843699094</v>
      </c>
      <c r="F63" s="93">
        <f t="shared" si="2"/>
        <v>2.3333333333333335</v>
      </c>
      <c r="G63" s="250"/>
      <c r="H63" s="253"/>
    </row>
    <row r="64" spans="1:8" x14ac:dyDescent="0.25">
      <c r="A64" s="68">
        <v>29</v>
      </c>
      <c r="B64" s="66">
        <f t="shared" si="3"/>
        <v>80103762.665110201</v>
      </c>
      <c r="C64" s="64">
        <f t="shared" si="0"/>
        <v>1012451.3816488149</v>
      </c>
      <c r="D64" s="44">
        <f t="shared" si="1"/>
        <v>267012.54221703403</v>
      </c>
      <c r="E64" s="65">
        <f t="shared" si="4"/>
        <v>745438.83943178086</v>
      </c>
      <c r="F64" s="93">
        <f t="shared" si="2"/>
        <v>2.4166666666666665</v>
      </c>
      <c r="G64" s="250"/>
      <c r="H64" s="253"/>
    </row>
    <row r="65" spans="1:8" x14ac:dyDescent="0.25">
      <c r="A65" s="68">
        <v>30</v>
      </c>
      <c r="B65" s="66">
        <f t="shared" si="3"/>
        <v>79358323.825678423</v>
      </c>
      <c r="C65" s="64">
        <f t="shared" si="0"/>
        <v>1012451.3816488149</v>
      </c>
      <c r="D65" s="44">
        <f t="shared" si="1"/>
        <v>264527.74608559476</v>
      </c>
      <c r="E65" s="65">
        <f t="shared" si="4"/>
        <v>747923.63556322013</v>
      </c>
      <c r="F65" s="93">
        <f t="shared" si="2"/>
        <v>2.5</v>
      </c>
      <c r="G65" s="250"/>
      <c r="H65" s="253"/>
    </row>
    <row r="66" spans="1:8" x14ac:dyDescent="0.25">
      <c r="A66" s="68">
        <v>31</v>
      </c>
      <c r="B66" s="66">
        <f t="shared" si="3"/>
        <v>78610400.190115198</v>
      </c>
      <c r="C66" s="64">
        <f t="shared" si="0"/>
        <v>1012451.3816488149</v>
      </c>
      <c r="D66" s="44">
        <f t="shared" si="1"/>
        <v>262034.66730038403</v>
      </c>
      <c r="E66" s="65">
        <f t="shared" si="4"/>
        <v>750416.71434843086</v>
      </c>
      <c r="F66" s="93">
        <f t="shared" si="2"/>
        <v>2.5833333333333335</v>
      </c>
      <c r="G66" s="250"/>
      <c r="H66" s="253"/>
    </row>
    <row r="67" spans="1:8" x14ac:dyDescent="0.25">
      <c r="A67" s="68">
        <v>32</v>
      </c>
      <c r="B67" s="66">
        <f t="shared" si="3"/>
        <v>77859983.475766763</v>
      </c>
      <c r="C67" s="64">
        <f t="shared" si="0"/>
        <v>1012451.3816488149</v>
      </c>
      <c r="D67" s="44">
        <f t="shared" si="1"/>
        <v>259533.2782525559</v>
      </c>
      <c r="E67" s="65">
        <f t="shared" si="4"/>
        <v>752918.10339625902</v>
      </c>
      <c r="F67" s="93">
        <f t="shared" si="2"/>
        <v>2.6666666666666665</v>
      </c>
      <c r="G67" s="250"/>
      <c r="H67" s="253"/>
    </row>
    <row r="68" spans="1:8" x14ac:dyDescent="0.25">
      <c r="A68" s="68">
        <v>33</v>
      </c>
      <c r="B68" s="66">
        <f t="shared" si="3"/>
        <v>77107065.372370511</v>
      </c>
      <c r="C68" s="64">
        <f t="shared" ref="C68:C99" si="5">+-PMT($C$29,120,+$B$36)</f>
        <v>1012451.3816488149</v>
      </c>
      <c r="D68" s="44">
        <f t="shared" ref="D68:D99" si="6">+B68*$C$29</f>
        <v>257023.55124123505</v>
      </c>
      <c r="E68" s="65">
        <f t="shared" si="4"/>
        <v>755427.8304075799</v>
      </c>
      <c r="F68" s="93">
        <f t="shared" ref="F68:F95" si="7">+A68/12</f>
        <v>2.75</v>
      </c>
      <c r="G68" s="250"/>
      <c r="H68" s="253"/>
    </row>
    <row r="69" spans="1:8" x14ac:dyDescent="0.25">
      <c r="A69" s="68">
        <v>34</v>
      </c>
      <c r="B69" s="66">
        <f t="shared" si="3"/>
        <v>76351637.541962937</v>
      </c>
      <c r="C69" s="64">
        <f t="shared" si="5"/>
        <v>1012451.3816488149</v>
      </c>
      <c r="D69" s="44">
        <f t="shared" si="6"/>
        <v>254505.45847320982</v>
      </c>
      <c r="E69" s="65">
        <f t="shared" si="4"/>
        <v>757945.92317560501</v>
      </c>
      <c r="F69" s="93">
        <f t="shared" si="7"/>
        <v>2.8333333333333335</v>
      </c>
      <c r="G69" s="250"/>
      <c r="H69" s="253"/>
    </row>
    <row r="70" spans="1:8" x14ac:dyDescent="0.25">
      <c r="A70" s="68">
        <v>35</v>
      </c>
      <c r="B70" s="66">
        <f t="shared" si="3"/>
        <v>75593691.618787333</v>
      </c>
      <c r="C70" s="64">
        <f t="shared" si="5"/>
        <v>1012451.3816488149</v>
      </c>
      <c r="D70" s="44">
        <f t="shared" si="6"/>
        <v>251978.97206262447</v>
      </c>
      <c r="E70" s="65">
        <f t="shared" si="4"/>
        <v>760472.40958619048</v>
      </c>
      <c r="F70" s="93">
        <f t="shared" si="7"/>
        <v>2.9166666666666665</v>
      </c>
      <c r="G70" s="250"/>
      <c r="H70" s="253"/>
    </row>
    <row r="71" spans="1:8" ht="13.8" thickBot="1" x14ac:dyDescent="0.3">
      <c r="A71" s="68">
        <v>36</v>
      </c>
      <c r="B71" s="66">
        <f t="shared" si="3"/>
        <v>74833219.209201142</v>
      </c>
      <c r="C71" s="64">
        <f t="shared" si="5"/>
        <v>1012451.3816488149</v>
      </c>
      <c r="D71" s="44">
        <f t="shared" si="6"/>
        <v>249444.0640306705</v>
      </c>
      <c r="E71" s="65">
        <f t="shared" si="4"/>
        <v>763007.31761814444</v>
      </c>
      <c r="F71" s="94">
        <f t="shared" si="7"/>
        <v>3</v>
      </c>
      <c r="G71" s="251"/>
      <c r="H71" s="254"/>
    </row>
    <row r="72" spans="1:8" x14ac:dyDescent="0.25">
      <c r="A72" s="68">
        <v>37</v>
      </c>
      <c r="B72" s="66">
        <f t="shared" si="3"/>
        <v>74070211.891582996</v>
      </c>
      <c r="C72" s="64">
        <f t="shared" si="5"/>
        <v>1012451.3816488149</v>
      </c>
      <c r="D72" s="44">
        <f t="shared" si="6"/>
        <v>246900.70630527666</v>
      </c>
      <c r="E72" s="65">
        <f t="shared" si="4"/>
        <v>765550.67534353817</v>
      </c>
      <c r="F72" s="92">
        <f t="shared" si="7"/>
        <v>3.0833333333333335</v>
      </c>
      <c r="G72" s="249">
        <f>+SUM(D72:D83)</f>
        <v>2792501.8707509669</v>
      </c>
      <c r="H72" s="252">
        <f>+SUM(E72:E83)</f>
        <v>9356914.7090348117</v>
      </c>
    </row>
    <row r="73" spans="1:8" x14ac:dyDescent="0.25">
      <c r="A73" s="68">
        <v>38</v>
      </c>
      <c r="B73" s="66">
        <f t="shared" si="3"/>
        <v>73304661.216239452</v>
      </c>
      <c r="C73" s="64">
        <f t="shared" si="5"/>
        <v>1012451.3816488149</v>
      </c>
      <c r="D73" s="44">
        <f t="shared" si="6"/>
        <v>244348.87072079818</v>
      </c>
      <c r="E73" s="65">
        <f t="shared" si="4"/>
        <v>768102.51092801674</v>
      </c>
      <c r="F73" s="93">
        <f t="shared" si="7"/>
        <v>3.1666666666666665</v>
      </c>
      <c r="G73" s="250"/>
      <c r="H73" s="253"/>
    </row>
    <row r="74" spans="1:8" x14ac:dyDescent="0.25">
      <c r="A74" s="68">
        <v>39</v>
      </c>
      <c r="B74" s="66">
        <f t="shared" si="3"/>
        <v>72536558.705311432</v>
      </c>
      <c r="C74" s="64">
        <f t="shared" si="5"/>
        <v>1012451.3816488149</v>
      </c>
      <c r="D74" s="44">
        <f t="shared" si="6"/>
        <v>241788.5290177048</v>
      </c>
      <c r="E74" s="65">
        <f t="shared" si="4"/>
        <v>770662.85263111012</v>
      </c>
      <c r="F74" s="93">
        <f t="shared" si="7"/>
        <v>3.25</v>
      </c>
      <c r="G74" s="250"/>
      <c r="H74" s="253"/>
    </row>
    <row r="75" spans="1:8" x14ac:dyDescent="0.25">
      <c r="A75" s="68">
        <v>40</v>
      </c>
      <c r="B75" s="66">
        <f t="shared" si="3"/>
        <v>71765895.852680326</v>
      </c>
      <c r="C75" s="64">
        <f t="shared" si="5"/>
        <v>1012451.3816488149</v>
      </c>
      <c r="D75" s="44">
        <f t="shared" si="6"/>
        <v>239219.65284226777</v>
      </c>
      <c r="E75" s="65">
        <f t="shared" si="4"/>
        <v>773231.72880654712</v>
      </c>
      <c r="F75" s="93">
        <f t="shared" si="7"/>
        <v>3.3333333333333335</v>
      </c>
      <c r="G75" s="250"/>
      <c r="H75" s="253"/>
    </row>
    <row r="76" spans="1:8" x14ac:dyDescent="0.25">
      <c r="A76" s="68">
        <v>41</v>
      </c>
      <c r="B76" s="81">
        <f t="shared" si="3"/>
        <v>70992664.123873785</v>
      </c>
      <c r="C76" s="79">
        <f t="shared" si="5"/>
        <v>1012451.3816488149</v>
      </c>
      <c r="D76" s="45">
        <f t="shared" si="6"/>
        <v>236642.21374624598</v>
      </c>
      <c r="E76" s="82">
        <f t="shared" si="4"/>
        <v>775809.16790256894</v>
      </c>
      <c r="F76" s="93">
        <f t="shared" si="7"/>
        <v>3.4166666666666665</v>
      </c>
      <c r="G76" s="250"/>
      <c r="H76" s="253"/>
    </row>
    <row r="77" spans="1:8" x14ac:dyDescent="0.25">
      <c r="A77" s="68">
        <v>42</v>
      </c>
      <c r="B77" s="81">
        <f t="shared" si="3"/>
        <v>70216854.955971211</v>
      </c>
      <c r="C77" s="79">
        <f t="shared" si="5"/>
        <v>1012451.3816488149</v>
      </c>
      <c r="D77" s="45">
        <f t="shared" si="6"/>
        <v>234056.18318657071</v>
      </c>
      <c r="E77" s="82">
        <f t="shared" si="4"/>
        <v>778395.19846224412</v>
      </c>
      <c r="F77" s="93">
        <f t="shared" si="7"/>
        <v>3.5</v>
      </c>
      <c r="G77" s="250"/>
      <c r="H77" s="253"/>
    </row>
    <row r="78" spans="1:8" x14ac:dyDescent="0.25">
      <c r="A78" s="68">
        <v>43</v>
      </c>
      <c r="B78" s="81">
        <f t="shared" si="3"/>
        <v>69438459.757508963</v>
      </c>
      <c r="C78" s="79">
        <f t="shared" si="5"/>
        <v>1012451.3816488149</v>
      </c>
      <c r="D78" s="45">
        <f t="shared" si="6"/>
        <v>231461.53252502991</v>
      </c>
      <c r="E78" s="82">
        <f t="shared" si="4"/>
        <v>780989.84912378504</v>
      </c>
      <c r="F78" s="93">
        <f t="shared" si="7"/>
        <v>3.5833333333333335</v>
      </c>
      <c r="G78" s="250"/>
      <c r="H78" s="253"/>
    </row>
    <row r="79" spans="1:8" x14ac:dyDescent="0.25">
      <c r="A79" s="68">
        <v>44</v>
      </c>
      <c r="B79" s="81">
        <f t="shared" si="3"/>
        <v>68657469.908385172</v>
      </c>
      <c r="C79" s="79">
        <f t="shared" si="5"/>
        <v>1012451.3816488149</v>
      </c>
      <c r="D79" s="45">
        <f t="shared" si="6"/>
        <v>228858.2330279506</v>
      </c>
      <c r="E79" s="82">
        <f t="shared" si="4"/>
        <v>783593.14862086426</v>
      </c>
      <c r="F79" s="93">
        <f t="shared" si="7"/>
        <v>3.6666666666666665</v>
      </c>
      <c r="G79" s="250"/>
      <c r="H79" s="253"/>
    </row>
    <row r="80" spans="1:8" x14ac:dyDescent="0.25">
      <c r="A80" s="68">
        <v>45</v>
      </c>
      <c r="B80" s="81">
        <f t="shared" si="3"/>
        <v>67873876.759764314</v>
      </c>
      <c r="C80" s="79">
        <f t="shared" si="5"/>
        <v>1012451.3816488149</v>
      </c>
      <c r="D80" s="45">
        <f t="shared" si="6"/>
        <v>226246.25586588107</v>
      </c>
      <c r="E80" s="82">
        <f t="shared" si="4"/>
        <v>786205.12578293378</v>
      </c>
      <c r="F80" s="93">
        <f t="shared" si="7"/>
        <v>3.75</v>
      </c>
      <c r="G80" s="250"/>
      <c r="H80" s="253"/>
    </row>
    <row r="81" spans="1:10" x14ac:dyDescent="0.25">
      <c r="A81" s="68">
        <v>46</v>
      </c>
      <c r="B81" s="81">
        <f t="shared" si="3"/>
        <v>67087671.633981377</v>
      </c>
      <c r="C81" s="79">
        <f t="shared" si="5"/>
        <v>1012451.3816488149</v>
      </c>
      <c r="D81" s="45">
        <f t="shared" si="6"/>
        <v>223625.57211327128</v>
      </c>
      <c r="E81" s="82">
        <f t="shared" si="4"/>
        <v>788825.80953554367</v>
      </c>
      <c r="F81" s="93">
        <f t="shared" si="7"/>
        <v>3.8333333333333335</v>
      </c>
      <c r="G81" s="250"/>
      <c r="H81" s="253"/>
    </row>
    <row r="82" spans="1:10" x14ac:dyDescent="0.25">
      <c r="A82" s="68">
        <v>47</v>
      </c>
      <c r="B82" s="81">
        <f t="shared" si="3"/>
        <v>66298845.824445836</v>
      </c>
      <c r="C82" s="79">
        <f t="shared" si="5"/>
        <v>1012451.3816488149</v>
      </c>
      <c r="D82" s="45">
        <f t="shared" si="6"/>
        <v>220996.15274815279</v>
      </c>
      <c r="E82" s="82">
        <f t="shared" si="4"/>
        <v>791455.22890066216</v>
      </c>
      <c r="F82" s="93">
        <f t="shared" si="7"/>
        <v>3.9166666666666665</v>
      </c>
      <c r="G82" s="250"/>
      <c r="H82" s="253"/>
    </row>
    <row r="83" spans="1:10" ht="13.8" thickBot="1" x14ac:dyDescent="0.3">
      <c r="A83" s="68">
        <v>48</v>
      </c>
      <c r="B83" s="81">
        <f t="shared" si="3"/>
        <v>65507390.595545173</v>
      </c>
      <c r="C83" s="79">
        <f t="shared" si="5"/>
        <v>1012451.3816488149</v>
      </c>
      <c r="D83" s="45">
        <f t="shared" si="6"/>
        <v>218357.96865181727</v>
      </c>
      <c r="E83" s="82">
        <f t="shared" si="4"/>
        <v>794093.41299699759</v>
      </c>
      <c r="F83" s="94">
        <f t="shared" si="7"/>
        <v>4</v>
      </c>
      <c r="G83" s="251"/>
      <c r="H83" s="254"/>
    </row>
    <row r="84" spans="1:10" x14ac:dyDescent="0.25">
      <c r="A84" s="68">
        <v>49</v>
      </c>
      <c r="B84" s="81">
        <f t="shared" si="3"/>
        <v>64713297.182548173</v>
      </c>
      <c r="C84" s="79">
        <f t="shared" si="5"/>
        <v>1012451.3816488149</v>
      </c>
      <c r="D84" s="45">
        <f t="shared" si="6"/>
        <v>215710.99060849391</v>
      </c>
      <c r="E84" s="82">
        <f t="shared" si="4"/>
        <v>796740.39104032097</v>
      </c>
      <c r="F84" s="92">
        <f t="shared" si="7"/>
        <v>4.083333333333333</v>
      </c>
      <c r="G84" s="249">
        <f>+SUM(D84:D95)</f>
        <v>2411286.7285360135</v>
      </c>
      <c r="H84" s="252">
        <f>+SUM(E84:E95)</f>
        <v>9738129.8512497637</v>
      </c>
    </row>
    <row r="85" spans="1:10" x14ac:dyDescent="0.25">
      <c r="A85" s="68">
        <v>50</v>
      </c>
      <c r="B85" s="81">
        <f t="shared" si="3"/>
        <v>63916556.791507855</v>
      </c>
      <c r="C85" s="79">
        <f t="shared" si="5"/>
        <v>1012451.3816488149</v>
      </c>
      <c r="D85" s="45">
        <f t="shared" si="6"/>
        <v>213055.1893050262</v>
      </c>
      <c r="E85" s="82">
        <f t="shared" si="4"/>
        <v>799396.19234378869</v>
      </c>
      <c r="F85" s="93">
        <f t="shared" si="7"/>
        <v>4.166666666666667</v>
      </c>
      <c r="G85" s="250"/>
      <c r="H85" s="253"/>
    </row>
    <row r="86" spans="1:10" x14ac:dyDescent="0.25">
      <c r="A86" s="68">
        <v>51</v>
      </c>
      <c r="B86" s="81">
        <f t="shared" si="3"/>
        <v>63117160.599164069</v>
      </c>
      <c r="C86" s="79">
        <f t="shared" si="5"/>
        <v>1012451.3816488149</v>
      </c>
      <c r="D86" s="45">
        <f t="shared" si="6"/>
        <v>210390.5353305469</v>
      </c>
      <c r="E86" s="82">
        <f t="shared" si="4"/>
        <v>802060.84631826798</v>
      </c>
      <c r="F86" s="93">
        <f t="shared" si="7"/>
        <v>4.25</v>
      </c>
      <c r="G86" s="250"/>
      <c r="H86" s="253"/>
    </row>
    <row r="87" spans="1:10" x14ac:dyDescent="0.25">
      <c r="A87" s="68">
        <v>52</v>
      </c>
      <c r="B87" s="81">
        <f t="shared" si="3"/>
        <v>62315099.752845801</v>
      </c>
      <c r="C87" s="79">
        <f t="shared" si="5"/>
        <v>1012451.3816488149</v>
      </c>
      <c r="D87" s="45">
        <f t="shared" si="6"/>
        <v>207716.99917615269</v>
      </c>
      <c r="E87" s="82">
        <f t="shared" si="4"/>
        <v>804734.38247266226</v>
      </c>
      <c r="F87" s="93">
        <f t="shared" si="7"/>
        <v>4.333333333333333</v>
      </c>
      <c r="G87" s="250"/>
      <c r="H87" s="253"/>
    </row>
    <row r="88" spans="1:10" x14ac:dyDescent="0.25">
      <c r="A88" s="68">
        <v>53</v>
      </c>
      <c r="B88" s="81">
        <f t="shared" si="3"/>
        <v>61510365.370373137</v>
      </c>
      <c r="C88" s="79">
        <f t="shared" si="5"/>
        <v>1012451.3816488149</v>
      </c>
      <c r="D88" s="45">
        <f t="shared" si="6"/>
        <v>205034.55123457714</v>
      </c>
      <c r="E88" s="82">
        <f t="shared" si="4"/>
        <v>807416.83041423769</v>
      </c>
      <c r="F88" s="93">
        <f t="shared" si="7"/>
        <v>4.416666666666667</v>
      </c>
      <c r="G88" s="250"/>
      <c r="H88" s="253"/>
    </row>
    <row r="89" spans="1:10" x14ac:dyDescent="0.25">
      <c r="A89" s="68">
        <v>54</v>
      </c>
      <c r="B89" s="81">
        <f t="shared" si="3"/>
        <v>60702948.539958902</v>
      </c>
      <c r="C89" s="79">
        <f t="shared" si="5"/>
        <v>1012451.3816488149</v>
      </c>
      <c r="D89" s="45">
        <f t="shared" si="6"/>
        <v>202343.16179986301</v>
      </c>
      <c r="E89" s="82">
        <f t="shared" si="4"/>
        <v>810108.21984895191</v>
      </c>
      <c r="F89" s="93">
        <f t="shared" si="7"/>
        <v>4.5</v>
      </c>
      <c r="G89" s="250"/>
      <c r="H89" s="253"/>
    </row>
    <row r="90" spans="1:10" x14ac:dyDescent="0.25">
      <c r="A90" s="68">
        <v>55</v>
      </c>
      <c r="B90" s="81">
        <f t="shared" si="3"/>
        <v>59892840.320109949</v>
      </c>
      <c r="C90" s="79">
        <f t="shared" si="5"/>
        <v>1012451.3816488149</v>
      </c>
      <c r="D90" s="45">
        <f t="shared" si="6"/>
        <v>199642.80106703317</v>
      </c>
      <c r="E90" s="82">
        <f t="shared" si="4"/>
        <v>812808.58058178169</v>
      </c>
      <c r="F90" s="93">
        <f t="shared" si="7"/>
        <v>4.583333333333333</v>
      </c>
      <c r="G90" s="250"/>
      <c r="H90" s="253"/>
    </row>
    <row r="91" spans="1:10" x14ac:dyDescent="0.25">
      <c r="A91" s="68">
        <v>56</v>
      </c>
      <c r="B91" s="81">
        <f t="shared" si="3"/>
        <v>59080031.739528164</v>
      </c>
      <c r="C91" s="79">
        <f t="shared" si="5"/>
        <v>1012451.3816488149</v>
      </c>
      <c r="D91" s="45">
        <f t="shared" si="6"/>
        <v>196933.43913176056</v>
      </c>
      <c r="E91" s="82">
        <f t="shared" si="4"/>
        <v>815517.94251705427</v>
      </c>
      <c r="F91" s="93">
        <f t="shared" si="7"/>
        <v>4.666666666666667</v>
      </c>
      <c r="G91" s="250"/>
      <c r="H91" s="253"/>
    </row>
    <row r="92" spans="1:10" x14ac:dyDescent="0.25">
      <c r="A92" s="68">
        <v>57</v>
      </c>
      <c r="B92" s="81">
        <f t="shared" si="3"/>
        <v>58264513.797011107</v>
      </c>
      <c r="C92" s="79">
        <f t="shared" si="5"/>
        <v>1012451.3816488149</v>
      </c>
      <c r="D92" s="45">
        <f t="shared" si="6"/>
        <v>194215.04599003703</v>
      </c>
      <c r="E92" s="82">
        <f t="shared" si="4"/>
        <v>818236.33565877785</v>
      </c>
      <c r="F92" s="93">
        <f t="shared" si="7"/>
        <v>4.75</v>
      </c>
      <c r="G92" s="250"/>
      <c r="H92" s="253"/>
    </row>
    <row r="93" spans="1:10" x14ac:dyDescent="0.25">
      <c r="A93" s="68">
        <v>58</v>
      </c>
      <c r="B93" s="81">
        <f t="shared" si="3"/>
        <v>57446277.461352326</v>
      </c>
      <c r="C93" s="79">
        <f t="shared" si="5"/>
        <v>1012451.3816488149</v>
      </c>
      <c r="D93" s="45">
        <f t="shared" si="6"/>
        <v>191487.5915378411</v>
      </c>
      <c r="E93" s="82">
        <f t="shared" si="4"/>
        <v>820963.79011097376</v>
      </c>
      <c r="F93" s="93">
        <f t="shared" si="7"/>
        <v>4.833333333333333</v>
      </c>
      <c r="G93" s="250"/>
      <c r="H93" s="253"/>
    </row>
    <row r="94" spans="1:10" x14ac:dyDescent="0.25">
      <c r="A94" s="68">
        <v>59</v>
      </c>
      <c r="B94" s="81">
        <f t="shared" si="3"/>
        <v>56625313.67124135</v>
      </c>
      <c r="C94" s="79">
        <f t="shared" si="5"/>
        <v>1012451.3816488149</v>
      </c>
      <c r="D94" s="45">
        <f t="shared" si="6"/>
        <v>188751.0455708045</v>
      </c>
      <c r="E94" s="82">
        <f t="shared" si="4"/>
        <v>823700.33607801038</v>
      </c>
      <c r="F94" s="93">
        <f t="shared" si="7"/>
        <v>4.916666666666667</v>
      </c>
      <c r="G94" s="250"/>
      <c r="H94" s="253"/>
    </row>
    <row r="95" spans="1:10" ht="13.8" thickBot="1" x14ac:dyDescent="0.3">
      <c r="A95" s="69">
        <v>60</v>
      </c>
      <c r="B95" s="85">
        <f t="shared" si="3"/>
        <v>55801613.33516334</v>
      </c>
      <c r="C95" s="84">
        <f t="shared" si="5"/>
        <v>1012451.3816488149</v>
      </c>
      <c r="D95" s="83">
        <f t="shared" si="6"/>
        <v>186005.3777838778</v>
      </c>
      <c r="E95" s="86">
        <f t="shared" si="4"/>
        <v>826446.00386493711</v>
      </c>
      <c r="F95" s="94">
        <f t="shared" si="7"/>
        <v>5</v>
      </c>
      <c r="G95" s="251"/>
      <c r="H95" s="254"/>
    </row>
    <row r="96" spans="1:10" x14ac:dyDescent="0.25">
      <c r="A96" s="100">
        <v>61</v>
      </c>
      <c r="B96" s="85">
        <f t="shared" si="3"/>
        <v>54975167.331298403</v>
      </c>
      <c r="C96" s="122">
        <f t="shared" si="5"/>
        <v>1012451.3816488149</v>
      </c>
      <c r="D96" s="123">
        <f t="shared" si="6"/>
        <v>183250.5577709947</v>
      </c>
      <c r="E96" s="124">
        <f t="shared" si="4"/>
        <v>829200.82387782016</v>
      </c>
      <c r="F96" s="67"/>
      <c r="G96" s="62"/>
      <c r="H96" s="62"/>
      <c r="I96" s="62"/>
      <c r="J96" s="62"/>
    </row>
    <row r="97" spans="1:10" x14ac:dyDescent="0.25">
      <c r="A97" s="100">
        <v>62</v>
      </c>
      <c r="B97" s="121">
        <f t="shared" si="3"/>
        <v>54145966.507420585</v>
      </c>
      <c r="C97" s="122">
        <f t="shared" si="5"/>
        <v>1012451.3816488149</v>
      </c>
      <c r="D97" s="123">
        <f t="shared" si="6"/>
        <v>180486.55502473528</v>
      </c>
      <c r="E97" s="124">
        <f t="shared" si="4"/>
        <v>831964.82662407961</v>
      </c>
      <c r="F97" s="67"/>
    </row>
    <row r="98" spans="1:10" x14ac:dyDescent="0.25">
      <c r="A98" s="100">
        <v>63</v>
      </c>
      <c r="B98" s="121">
        <f t="shared" si="3"/>
        <v>53314001.680796504</v>
      </c>
      <c r="C98" s="122">
        <f t="shared" si="5"/>
        <v>1012451.3816488149</v>
      </c>
      <c r="D98" s="123">
        <f t="shared" si="6"/>
        <v>177713.33893598834</v>
      </c>
      <c r="E98" s="124">
        <f t="shared" si="4"/>
        <v>834738.04271282651</v>
      </c>
      <c r="F98" s="67"/>
    </row>
    <row r="99" spans="1:10" x14ac:dyDescent="0.25">
      <c r="A99" s="100">
        <v>64</v>
      </c>
      <c r="B99" s="121">
        <f t="shared" si="3"/>
        <v>52479263.638083674</v>
      </c>
      <c r="C99" s="122">
        <f t="shared" si="5"/>
        <v>1012451.3816488149</v>
      </c>
      <c r="D99" s="123">
        <f t="shared" si="6"/>
        <v>174930.87879361227</v>
      </c>
      <c r="E99" s="124">
        <f t="shared" si="4"/>
        <v>837520.50285520265</v>
      </c>
      <c r="F99" s="67"/>
    </row>
    <row r="100" spans="1:10" x14ac:dyDescent="0.25">
      <c r="A100" s="100">
        <v>65</v>
      </c>
      <c r="B100" s="121">
        <f t="shared" si="3"/>
        <v>51641743.13522847</v>
      </c>
      <c r="C100" s="122">
        <f t="shared" ref="C100:C131" si="8">+-PMT($C$29,120,+$B$36)</f>
        <v>1012451.3816488149</v>
      </c>
      <c r="D100" s="123">
        <f t="shared" ref="D100:D131" si="9">+B100*$C$29</f>
        <v>172139.14378409492</v>
      </c>
      <c r="E100" s="124">
        <f t="shared" si="4"/>
        <v>840312.23786471994</v>
      </c>
      <c r="F100" s="67"/>
    </row>
    <row r="101" spans="1:10" x14ac:dyDescent="0.25">
      <c r="A101" s="100">
        <v>66</v>
      </c>
      <c r="B101" s="121">
        <f t="shared" si="3"/>
        <v>50801430.897363752</v>
      </c>
      <c r="C101" s="122">
        <f t="shared" si="8"/>
        <v>1012451.3816488149</v>
      </c>
      <c r="D101" s="123">
        <f t="shared" si="9"/>
        <v>169338.10299121251</v>
      </c>
      <c r="E101" s="124">
        <f t="shared" si="4"/>
        <v>843113.27865760238</v>
      </c>
      <c r="F101" s="67"/>
    </row>
    <row r="102" spans="1:10" x14ac:dyDescent="0.25">
      <c r="A102" s="100">
        <v>67</v>
      </c>
      <c r="B102" s="121">
        <f t="shared" ref="B102:B155" si="10">+B101-E101</f>
        <v>49958317.618706152</v>
      </c>
      <c r="C102" s="122">
        <f t="shared" si="8"/>
        <v>1012451.3816488149</v>
      </c>
      <c r="D102" s="123">
        <f t="shared" si="9"/>
        <v>166527.72539568719</v>
      </c>
      <c r="E102" s="124">
        <f t="shared" ref="E102:E155" si="11">+C102-D102</f>
        <v>845923.65625312773</v>
      </c>
      <c r="F102" s="67"/>
    </row>
    <row r="103" spans="1:10" x14ac:dyDescent="0.25">
      <c r="A103" s="100">
        <v>68</v>
      </c>
      <c r="B103" s="121">
        <f t="shared" si="10"/>
        <v>49112393.962453023</v>
      </c>
      <c r="C103" s="122">
        <f t="shared" si="8"/>
        <v>1012451.3816488149</v>
      </c>
      <c r="D103" s="123">
        <f t="shared" si="9"/>
        <v>163707.97987484341</v>
      </c>
      <c r="E103" s="124">
        <f t="shared" si="11"/>
        <v>848743.40177397151</v>
      </c>
      <c r="F103" s="67"/>
    </row>
    <row r="104" spans="1:10" x14ac:dyDescent="0.25">
      <c r="A104" s="100">
        <v>69</v>
      </c>
      <c r="B104" s="121">
        <f t="shared" si="10"/>
        <v>48263650.560679048</v>
      </c>
      <c r="C104" s="122">
        <f t="shared" si="8"/>
        <v>1012451.3816488149</v>
      </c>
      <c r="D104" s="123">
        <f t="shared" si="9"/>
        <v>160878.83520226349</v>
      </c>
      <c r="E104" s="124">
        <f t="shared" si="11"/>
        <v>851572.54644655134</v>
      </c>
      <c r="F104" s="67"/>
    </row>
    <row r="105" spans="1:10" x14ac:dyDescent="0.25">
      <c r="A105" s="100">
        <v>70</v>
      </c>
      <c r="B105" s="121">
        <f t="shared" si="10"/>
        <v>47412078.014232494</v>
      </c>
      <c r="C105" s="122">
        <f t="shared" si="8"/>
        <v>1012451.3816488149</v>
      </c>
      <c r="D105" s="123">
        <f t="shared" si="9"/>
        <v>158040.26004744167</v>
      </c>
      <c r="E105" s="124">
        <f t="shared" si="11"/>
        <v>854411.12160137319</v>
      </c>
      <c r="F105" s="67"/>
    </row>
    <row r="106" spans="1:10" x14ac:dyDescent="0.25">
      <c r="A106" s="100">
        <v>71</v>
      </c>
      <c r="B106" s="121">
        <f t="shared" si="10"/>
        <v>46557666.892631121</v>
      </c>
      <c r="C106" s="122">
        <f t="shared" si="8"/>
        <v>1012451.3816488149</v>
      </c>
      <c r="D106" s="123">
        <f t="shared" si="9"/>
        <v>155192.22297543709</v>
      </c>
      <c r="E106" s="124">
        <f t="shared" si="11"/>
        <v>857259.15867337782</v>
      </c>
      <c r="F106" s="67"/>
    </row>
    <row r="107" spans="1:10" x14ac:dyDescent="0.25">
      <c r="A107" s="100">
        <v>72</v>
      </c>
      <c r="B107" s="121">
        <f t="shared" si="10"/>
        <v>45700407.733957745</v>
      </c>
      <c r="C107" s="122">
        <f t="shared" si="8"/>
        <v>1012451.3816488149</v>
      </c>
      <c r="D107" s="123">
        <f t="shared" si="9"/>
        <v>152334.69244652582</v>
      </c>
      <c r="E107" s="124">
        <f t="shared" si="11"/>
        <v>860116.6892022891</v>
      </c>
      <c r="F107" s="67"/>
    </row>
    <row r="108" spans="1:10" x14ac:dyDescent="0.25">
      <c r="A108" s="100">
        <v>73</v>
      </c>
      <c r="B108" s="121">
        <f t="shared" si="10"/>
        <v>44840291.044755459</v>
      </c>
      <c r="C108" s="122">
        <f t="shared" si="8"/>
        <v>1012451.3816488149</v>
      </c>
      <c r="D108" s="123">
        <f t="shared" si="9"/>
        <v>149467.63681585153</v>
      </c>
      <c r="E108" s="124">
        <f t="shared" si="11"/>
        <v>862983.74483296333</v>
      </c>
      <c r="F108" s="67"/>
      <c r="G108" s="62"/>
      <c r="H108" s="62"/>
      <c r="I108" s="62"/>
      <c r="J108" s="62"/>
    </row>
    <row r="109" spans="1:10" x14ac:dyDescent="0.25">
      <c r="A109" s="100">
        <v>74</v>
      </c>
      <c r="B109" s="121">
        <f t="shared" si="10"/>
        <v>43977307.299922496</v>
      </c>
      <c r="C109" s="122">
        <f t="shared" si="8"/>
        <v>1012451.3816488149</v>
      </c>
      <c r="D109" s="123">
        <f t="shared" si="9"/>
        <v>146591.02433307501</v>
      </c>
      <c r="E109" s="124">
        <f t="shared" si="11"/>
        <v>865860.35731573985</v>
      </c>
      <c r="F109" s="67"/>
    </row>
    <row r="110" spans="1:10" x14ac:dyDescent="0.25">
      <c r="A110" s="100">
        <v>75</v>
      </c>
      <c r="B110" s="121">
        <f t="shared" si="10"/>
        <v>43111446.942606755</v>
      </c>
      <c r="C110" s="122">
        <f t="shared" si="8"/>
        <v>1012451.3816488149</v>
      </c>
      <c r="D110" s="123">
        <f t="shared" si="9"/>
        <v>143704.82314202253</v>
      </c>
      <c r="E110" s="124">
        <f t="shared" si="11"/>
        <v>868746.55850679241</v>
      </c>
      <c r="F110" s="67"/>
    </row>
    <row r="111" spans="1:10" x14ac:dyDescent="0.25">
      <c r="A111" s="100">
        <v>76</v>
      </c>
      <c r="B111" s="121">
        <f t="shared" si="10"/>
        <v>42242700.38409996</v>
      </c>
      <c r="C111" s="122">
        <f t="shared" si="8"/>
        <v>1012451.3816488149</v>
      </c>
      <c r="D111" s="123">
        <f t="shared" si="9"/>
        <v>140809.00128033321</v>
      </c>
      <c r="E111" s="124">
        <f t="shared" si="11"/>
        <v>871642.38036848162</v>
      </c>
      <c r="F111" s="67"/>
    </row>
    <row r="112" spans="1:10" x14ac:dyDescent="0.25">
      <c r="A112" s="100">
        <v>77</v>
      </c>
      <c r="B112" s="121">
        <f t="shared" si="10"/>
        <v>41371058.003731482</v>
      </c>
      <c r="C112" s="122">
        <f t="shared" si="8"/>
        <v>1012451.3816488149</v>
      </c>
      <c r="D112" s="123">
        <f t="shared" si="9"/>
        <v>137903.52667910495</v>
      </c>
      <c r="E112" s="124">
        <f t="shared" si="11"/>
        <v>874547.85496970988</v>
      </c>
      <c r="F112" s="67"/>
    </row>
    <row r="113" spans="1:10" x14ac:dyDescent="0.25">
      <c r="A113" s="100">
        <v>78</v>
      </c>
      <c r="B113" s="121">
        <f t="shared" si="10"/>
        <v>40496510.148761772</v>
      </c>
      <c r="C113" s="122">
        <f t="shared" si="8"/>
        <v>1012451.3816488149</v>
      </c>
      <c r="D113" s="123">
        <f t="shared" si="9"/>
        <v>134988.36716253925</v>
      </c>
      <c r="E113" s="124">
        <f t="shared" si="11"/>
        <v>877463.01448627561</v>
      </c>
      <c r="F113" s="67"/>
    </row>
    <row r="114" spans="1:10" x14ac:dyDescent="0.25">
      <c r="A114" s="100">
        <v>79</v>
      </c>
      <c r="B114" s="121">
        <f t="shared" si="10"/>
        <v>39619047.134275496</v>
      </c>
      <c r="C114" s="122">
        <f t="shared" si="8"/>
        <v>1012451.3816488149</v>
      </c>
      <c r="D114" s="123">
        <f t="shared" si="9"/>
        <v>132063.49044758501</v>
      </c>
      <c r="E114" s="124">
        <f t="shared" si="11"/>
        <v>880387.89120122988</v>
      </c>
      <c r="F114" s="67"/>
    </row>
    <row r="115" spans="1:10" x14ac:dyDescent="0.25">
      <c r="A115" s="100">
        <v>80</v>
      </c>
      <c r="B115" s="121">
        <f t="shared" si="10"/>
        <v>38738659.243074268</v>
      </c>
      <c r="C115" s="122">
        <f t="shared" si="8"/>
        <v>1012451.3816488149</v>
      </c>
      <c r="D115" s="123">
        <f t="shared" si="9"/>
        <v>129128.8641435809</v>
      </c>
      <c r="E115" s="124">
        <f t="shared" si="11"/>
        <v>883322.51750523399</v>
      </c>
      <c r="F115" s="67"/>
    </row>
    <row r="116" spans="1:10" x14ac:dyDescent="0.25">
      <c r="A116" s="100">
        <v>81</v>
      </c>
      <c r="B116" s="121">
        <f t="shared" si="10"/>
        <v>37855336.725569032</v>
      </c>
      <c r="C116" s="122">
        <f t="shared" si="8"/>
        <v>1012451.3816488149</v>
      </c>
      <c r="D116" s="123">
        <f t="shared" si="9"/>
        <v>126184.45575189678</v>
      </c>
      <c r="E116" s="124">
        <f t="shared" si="11"/>
        <v>886266.92589691817</v>
      </c>
      <c r="F116" s="67"/>
    </row>
    <row r="117" spans="1:10" x14ac:dyDescent="0.25">
      <c r="A117" s="100">
        <v>82</v>
      </c>
      <c r="B117" s="121">
        <f t="shared" si="10"/>
        <v>36969069.799672112</v>
      </c>
      <c r="C117" s="122">
        <f t="shared" si="8"/>
        <v>1012451.3816488149</v>
      </c>
      <c r="D117" s="123">
        <f t="shared" si="9"/>
        <v>123230.23266557371</v>
      </c>
      <c r="E117" s="124">
        <f t="shared" si="11"/>
        <v>889221.14898324118</v>
      </c>
      <c r="F117" s="67"/>
    </row>
    <row r="118" spans="1:10" x14ac:dyDescent="0.25">
      <c r="A118" s="100">
        <v>83</v>
      </c>
      <c r="B118" s="121">
        <f t="shared" si="10"/>
        <v>36079848.650688872</v>
      </c>
      <c r="C118" s="122">
        <f t="shared" si="8"/>
        <v>1012451.3816488149</v>
      </c>
      <c r="D118" s="123">
        <f t="shared" si="9"/>
        <v>120266.16216896291</v>
      </c>
      <c r="E118" s="124">
        <f t="shared" si="11"/>
        <v>892185.21947985201</v>
      </c>
      <c r="F118" s="67"/>
    </row>
    <row r="119" spans="1:10" x14ac:dyDescent="0.25">
      <c r="A119" s="100">
        <v>84</v>
      </c>
      <c r="B119" s="121">
        <f t="shared" si="10"/>
        <v>35187663.43120902</v>
      </c>
      <c r="C119" s="122">
        <f t="shared" si="8"/>
        <v>1012451.3816488149</v>
      </c>
      <c r="D119" s="123">
        <f t="shared" si="9"/>
        <v>117292.21143736341</v>
      </c>
      <c r="E119" s="124">
        <f t="shared" si="11"/>
        <v>895159.17021145148</v>
      </c>
      <c r="F119" s="67"/>
    </row>
    <row r="120" spans="1:10" x14ac:dyDescent="0.25">
      <c r="A120" s="100">
        <v>85</v>
      </c>
      <c r="B120" s="121">
        <f t="shared" si="10"/>
        <v>34292504.260997571</v>
      </c>
      <c r="C120" s="122">
        <f t="shared" si="8"/>
        <v>1012451.3816488149</v>
      </c>
      <c r="D120" s="123">
        <f t="shared" si="9"/>
        <v>114308.34753665858</v>
      </c>
      <c r="E120" s="124">
        <f t="shared" si="11"/>
        <v>898143.03411215637</v>
      </c>
      <c r="F120" s="67"/>
      <c r="G120" s="62"/>
      <c r="H120" s="62"/>
      <c r="I120" s="62"/>
      <c r="J120" s="62"/>
    </row>
    <row r="121" spans="1:10" x14ac:dyDescent="0.25">
      <c r="A121" s="100">
        <v>86</v>
      </c>
      <c r="B121" s="121">
        <f t="shared" si="10"/>
        <v>33394361.226885416</v>
      </c>
      <c r="C121" s="122">
        <f t="shared" si="8"/>
        <v>1012451.3816488149</v>
      </c>
      <c r="D121" s="123">
        <f t="shared" si="9"/>
        <v>111314.5374229514</v>
      </c>
      <c r="E121" s="124">
        <f t="shared" si="11"/>
        <v>901136.84422586346</v>
      </c>
      <c r="F121" s="67"/>
    </row>
    <row r="122" spans="1:10" x14ac:dyDescent="0.25">
      <c r="A122" s="100">
        <v>87</v>
      </c>
      <c r="B122" s="121">
        <f t="shared" si="10"/>
        <v>32493224.382659551</v>
      </c>
      <c r="C122" s="122">
        <f t="shared" si="8"/>
        <v>1012451.3816488149</v>
      </c>
      <c r="D122" s="123">
        <f t="shared" si="9"/>
        <v>108310.7479421985</v>
      </c>
      <c r="E122" s="124">
        <f t="shared" si="11"/>
        <v>904140.63370661635</v>
      </c>
      <c r="F122" s="67"/>
    </row>
    <row r="123" spans="1:10" x14ac:dyDescent="0.25">
      <c r="A123" s="100">
        <v>88</v>
      </c>
      <c r="B123" s="121">
        <f t="shared" si="10"/>
        <v>31589083.748952933</v>
      </c>
      <c r="C123" s="122">
        <f t="shared" si="8"/>
        <v>1012451.3816488149</v>
      </c>
      <c r="D123" s="123">
        <f t="shared" si="9"/>
        <v>105296.94582984311</v>
      </c>
      <c r="E123" s="124">
        <f t="shared" si="11"/>
        <v>907154.43581897183</v>
      </c>
      <c r="F123" s="67"/>
    </row>
    <row r="124" spans="1:10" x14ac:dyDescent="0.25">
      <c r="A124" s="100">
        <v>89</v>
      </c>
      <c r="B124" s="121">
        <f t="shared" si="10"/>
        <v>30681929.313133962</v>
      </c>
      <c r="C124" s="122">
        <f t="shared" si="8"/>
        <v>1012451.3816488149</v>
      </c>
      <c r="D124" s="123">
        <f t="shared" si="9"/>
        <v>102273.09771044654</v>
      </c>
      <c r="E124" s="124">
        <f t="shared" si="11"/>
        <v>910178.28393836832</v>
      </c>
      <c r="F124" s="67"/>
    </row>
    <row r="125" spans="1:10" x14ac:dyDescent="0.25">
      <c r="A125" s="100">
        <v>90</v>
      </c>
      <c r="B125" s="121">
        <f t="shared" si="10"/>
        <v>29771751.029195596</v>
      </c>
      <c r="C125" s="122">
        <f t="shared" si="8"/>
        <v>1012451.3816488149</v>
      </c>
      <c r="D125" s="123">
        <f t="shared" si="9"/>
        <v>99239.170097318653</v>
      </c>
      <c r="E125" s="124">
        <f t="shared" si="11"/>
        <v>913212.21155149629</v>
      </c>
      <c r="F125" s="67"/>
    </row>
    <row r="126" spans="1:10" x14ac:dyDescent="0.25">
      <c r="A126" s="100">
        <v>91</v>
      </c>
      <c r="B126" s="121">
        <f t="shared" si="10"/>
        <v>28858538.817644101</v>
      </c>
      <c r="C126" s="122">
        <f t="shared" si="8"/>
        <v>1012451.3816488149</v>
      </c>
      <c r="D126" s="123">
        <f t="shared" si="9"/>
        <v>96195.129392147006</v>
      </c>
      <c r="E126" s="124">
        <f t="shared" si="11"/>
        <v>916256.25225666794</v>
      </c>
      <c r="F126" s="67"/>
    </row>
    <row r="127" spans="1:10" x14ac:dyDescent="0.25">
      <c r="A127" s="100">
        <v>92</v>
      </c>
      <c r="B127" s="121">
        <f t="shared" si="10"/>
        <v>27942282.565387432</v>
      </c>
      <c r="C127" s="122">
        <f t="shared" si="8"/>
        <v>1012451.3816488149</v>
      </c>
      <c r="D127" s="123">
        <f t="shared" si="9"/>
        <v>93140.941884624772</v>
      </c>
      <c r="E127" s="124">
        <f t="shared" si="11"/>
        <v>919310.43976419012</v>
      </c>
      <c r="F127" s="67"/>
    </row>
    <row r="128" spans="1:10" x14ac:dyDescent="0.25">
      <c r="A128" s="100">
        <v>93</v>
      </c>
      <c r="B128" s="121">
        <f t="shared" si="10"/>
        <v>27022972.125623241</v>
      </c>
      <c r="C128" s="122">
        <f t="shared" si="8"/>
        <v>1012451.3816488149</v>
      </c>
      <c r="D128" s="123">
        <f t="shared" si="9"/>
        <v>90076.573752077471</v>
      </c>
      <c r="E128" s="124">
        <f t="shared" si="11"/>
        <v>922374.80789673747</v>
      </c>
      <c r="F128" s="67"/>
    </row>
    <row r="129" spans="1:10" x14ac:dyDescent="0.25">
      <c r="A129" s="100">
        <v>94</v>
      </c>
      <c r="B129" s="121">
        <f t="shared" si="10"/>
        <v>26100597.317726504</v>
      </c>
      <c r="C129" s="122">
        <f t="shared" si="8"/>
        <v>1012451.3816488149</v>
      </c>
      <c r="D129" s="123">
        <f t="shared" si="9"/>
        <v>87001.991059088352</v>
      </c>
      <c r="E129" s="124">
        <f t="shared" si="11"/>
        <v>925449.39058972651</v>
      </c>
      <c r="F129" s="67"/>
    </row>
    <row r="130" spans="1:10" x14ac:dyDescent="0.25">
      <c r="A130" s="100">
        <v>95</v>
      </c>
      <c r="B130" s="121">
        <f t="shared" si="10"/>
        <v>25175147.927136779</v>
      </c>
      <c r="C130" s="122">
        <f t="shared" si="8"/>
        <v>1012451.3816488149</v>
      </c>
      <c r="D130" s="123">
        <f t="shared" si="9"/>
        <v>83917.159757122601</v>
      </c>
      <c r="E130" s="124">
        <f t="shared" si="11"/>
        <v>928534.22189169226</v>
      </c>
      <c r="F130" s="67"/>
    </row>
    <row r="131" spans="1:10" x14ac:dyDescent="0.25">
      <c r="A131" s="100">
        <v>96</v>
      </c>
      <c r="B131" s="121">
        <f t="shared" si="10"/>
        <v>24246613.705245085</v>
      </c>
      <c r="C131" s="122">
        <f t="shared" si="8"/>
        <v>1012451.3816488149</v>
      </c>
      <c r="D131" s="123">
        <f t="shared" si="9"/>
        <v>80822.045684150289</v>
      </c>
      <c r="E131" s="124">
        <f t="shared" si="11"/>
        <v>931629.33596466458</v>
      </c>
      <c r="F131" s="67"/>
    </row>
    <row r="132" spans="1:10" x14ac:dyDescent="0.25">
      <c r="A132" s="100">
        <v>97</v>
      </c>
      <c r="B132" s="121">
        <f t="shared" si="10"/>
        <v>23314984.36928042</v>
      </c>
      <c r="C132" s="122">
        <f t="shared" ref="C132:C155" si="12">+-PMT($C$29,120,+$B$36)</f>
        <v>1012451.3816488149</v>
      </c>
      <c r="D132" s="123">
        <f t="shared" ref="D132:D155" si="13">+B132*$C$29</f>
        <v>77716.614564268079</v>
      </c>
      <c r="E132" s="124">
        <f t="shared" si="11"/>
        <v>934734.76708454685</v>
      </c>
      <c r="F132" s="67"/>
      <c r="G132" s="62"/>
      <c r="H132" s="62"/>
      <c r="I132" s="62"/>
      <c r="J132" s="62"/>
    </row>
    <row r="133" spans="1:10" x14ac:dyDescent="0.25">
      <c r="A133" s="100">
        <v>98</v>
      </c>
      <c r="B133" s="121">
        <f t="shared" si="10"/>
        <v>22380249.602195874</v>
      </c>
      <c r="C133" s="122">
        <f t="shared" si="12"/>
        <v>1012451.3816488149</v>
      </c>
      <c r="D133" s="123">
        <f t="shared" si="13"/>
        <v>74600.832007319579</v>
      </c>
      <c r="E133" s="124">
        <f t="shared" si="11"/>
        <v>937850.54964149534</v>
      </c>
      <c r="F133" s="67"/>
    </row>
    <row r="134" spans="1:10" x14ac:dyDescent="0.25">
      <c r="A134" s="100">
        <v>99</v>
      </c>
      <c r="B134" s="121">
        <f t="shared" si="10"/>
        <v>21442399.05255438</v>
      </c>
      <c r="C134" s="122">
        <f t="shared" si="12"/>
        <v>1012451.3816488149</v>
      </c>
      <c r="D134" s="123">
        <f t="shared" si="13"/>
        <v>71474.663508514612</v>
      </c>
      <c r="E134" s="124">
        <f t="shared" si="11"/>
        <v>940976.71814030025</v>
      </c>
      <c r="F134" s="67"/>
    </row>
    <row r="135" spans="1:10" x14ac:dyDescent="0.25">
      <c r="A135" s="100">
        <v>100</v>
      </c>
      <c r="B135" s="121">
        <f t="shared" si="10"/>
        <v>20501422.33441408</v>
      </c>
      <c r="C135" s="122">
        <f t="shared" si="12"/>
        <v>1012451.3816488149</v>
      </c>
      <c r="D135" s="123">
        <f t="shared" si="13"/>
        <v>68338.074448046944</v>
      </c>
      <c r="E135" s="124">
        <f t="shared" si="11"/>
        <v>944113.30720076791</v>
      </c>
      <c r="F135" s="67"/>
    </row>
    <row r="136" spans="1:10" x14ac:dyDescent="0.25">
      <c r="A136" s="100">
        <v>101</v>
      </c>
      <c r="B136" s="121">
        <f t="shared" si="10"/>
        <v>19557309.027213313</v>
      </c>
      <c r="C136" s="122">
        <f t="shared" si="12"/>
        <v>1012451.3816488149</v>
      </c>
      <c r="D136" s="123">
        <f t="shared" si="13"/>
        <v>65191.030090711043</v>
      </c>
      <c r="E136" s="124">
        <f t="shared" si="11"/>
        <v>947260.35155810381</v>
      </c>
      <c r="F136" s="67"/>
    </row>
    <row r="137" spans="1:10" x14ac:dyDescent="0.25">
      <c r="A137" s="100">
        <v>102</v>
      </c>
      <c r="B137" s="121">
        <f t="shared" si="10"/>
        <v>18610048.675655209</v>
      </c>
      <c r="C137" s="122">
        <f t="shared" si="12"/>
        <v>1012451.3816488149</v>
      </c>
      <c r="D137" s="123">
        <f t="shared" si="13"/>
        <v>62033.495585517368</v>
      </c>
      <c r="E137" s="124">
        <f t="shared" si="11"/>
        <v>950417.88606329751</v>
      </c>
      <c r="F137" s="67"/>
    </row>
    <row r="138" spans="1:10" x14ac:dyDescent="0.25">
      <c r="A138" s="100">
        <v>103</v>
      </c>
      <c r="B138" s="121">
        <f t="shared" si="10"/>
        <v>17659630.789591912</v>
      </c>
      <c r="C138" s="122">
        <f t="shared" si="12"/>
        <v>1012451.3816488149</v>
      </c>
      <c r="D138" s="123">
        <f t="shared" si="13"/>
        <v>58865.43596530638</v>
      </c>
      <c r="E138" s="124">
        <f t="shared" si="11"/>
        <v>953585.94568350853</v>
      </c>
      <c r="F138" s="67"/>
    </row>
    <row r="139" spans="1:10" x14ac:dyDescent="0.25">
      <c r="A139" s="100">
        <v>104</v>
      </c>
      <c r="B139" s="121">
        <f t="shared" si="10"/>
        <v>16706044.843908403</v>
      </c>
      <c r="C139" s="122">
        <f t="shared" si="12"/>
        <v>1012451.3816488149</v>
      </c>
      <c r="D139" s="123">
        <f t="shared" si="13"/>
        <v>55686.816146361351</v>
      </c>
      <c r="E139" s="124">
        <f t="shared" si="11"/>
        <v>956764.5655024536</v>
      </c>
      <c r="F139" s="144"/>
      <c r="G139" s="144"/>
      <c r="H139" s="67"/>
    </row>
    <row r="140" spans="1:10" x14ac:dyDescent="0.25">
      <c r="A140" s="100">
        <v>105</v>
      </c>
      <c r="B140" s="121">
        <f t="shared" si="10"/>
        <v>15749280.278405949</v>
      </c>
      <c r="C140" s="122">
        <f t="shared" si="12"/>
        <v>1012451.3816488149</v>
      </c>
      <c r="D140" s="123">
        <f t="shared" si="13"/>
        <v>52497.600928019834</v>
      </c>
      <c r="E140" s="124">
        <f t="shared" si="11"/>
        <v>959953.78072079504</v>
      </c>
      <c r="F140" s="144"/>
      <c r="G140" s="144"/>
      <c r="H140" s="67"/>
    </row>
    <row r="141" spans="1:10" x14ac:dyDescent="0.25">
      <c r="A141" s="100">
        <v>106</v>
      </c>
      <c r="B141" s="121">
        <f t="shared" si="10"/>
        <v>14789326.497685155</v>
      </c>
      <c r="C141" s="122">
        <f t="shared" si="12"/>
        <v>1012451.3816488149</v>
      </c>
      <c r="D141" s="123">
        <f t="shared" si="13"/>
        <v>49297.754992283852</v>
      </c>
      <c r="E141" s="124">
        <f t="shared" si="11"/>
        <v>963153.62665653101</v>
      </c>
      <c r="F141" s="144"/>
      <c r="G141" s="144"/>
      <c r="H141" s="67"/>
    </row>
    <row r="142" spans="1:10" x14ac:dyDescent="0.25">
      <c r="A142" s="100">
        <v>107</v>
      </c>
      <c r="B142" s="121">
        <f t="shared" si="10"/>
        <v>13826172.871028624</v>
      </c>
      <c r="C142" s="122">
        <f t="shared" si="12"/>
        <v>1012451.3816488149</v>
      </c>
      <c r="D142" s="123">
        <f t="shared" si="13"/>
        <v>46087.242903428749</v>
      </c>
      <c r="E142" s="124">
        <f t="shared" si="11"/>
        <v>966364.13874538615</v>
      </c>
      <c r="F142" s="144"/>
      <c r="G142" s="144"/>
      <c r="H142" s="67"/>
    </row>
    <row r="143" spans="1:10" x14ac:dyDescent="0.25">
      <c r="A143" s="100">
        <v>108</v>
      </c>
      <c r="B143" s="121">
        <f t="shared" si="10"/>
        <v>12859808.732283238</v>
      </c>
      <c r="C143" s="122">
        <f t="shared" si="12"/>
        <v>1012451.3816488149</v>
      </c>
      <c r="D143" s="123">
        <f t="shared" si="13"/>
        <v>42866.029107610797</v>
      </c>
      <c r="E143" s="124">
        <f t="shared" si="11"/>
        <v>969585.35254120408</v>
      </c>
      <c r="F143" s="144"/>
      <c r="G143" s="144"/>
      <c r="H143" s="67"/>
      <c r="I143" s="62"/>
      <c r="J143" s="62"/>
    </row>
    <row r="144" spans="1:10" x14ac:dyDescent="0.25">
      <c r="A144" s="100">
        <v>109</v>
      </c>
      <c r="B144" s="121">
        <f t="shared" si="10"/>
        <v>11890223.379742034</v>
      </c>
      <c r="C144" s="122">
        <f t="shared" si="12"/>
        <v>1012451.3816488149</v>
      </c>
      <c r="D144" s="123">
        <f t="shared" si="13"/>
        <v>39634.077932473447</v>
      </c>
      <c r="E144" s="124">
        <f t="shared" si="11"/>
        <v>972817.3037163415</v>
      </c>
      <c r="F144" s="144"/>
      <c r="G144" s="144"/>
      <c r="H144" s="67"/>
    </row>
    <row r="145" spans="1:8" x14ac:dyDescent="0.25">
      <c r="A145" s="100">
        <v>110</v>
      </c>
      <c r="B145" s="121">
        <f t="shared" si="10"/>
        <v>10917406.076025693</v>
      </c>
      <c r="C145" s="122">
        <f t="shared" si="12"/>
        <v>1012451.3816488149</v>
      </c>
      <c r="D145" s="123">
        <f t="shared" si="13"/>
        <v>36391.35358675231</v>
      </c>
      <c r="E145" s="124">
        <f t="shared" si="11"/>
        <v>976060.02806206257</v>
      </c>
      <c r="F145" s="144"/>
      <c r="G145" s="144"/>
      <c r="H145" s="67"/>
    </row>
    <row r="146" spans="1:8" x14ac:dyDescent="0.25">
      <c r="A146" s="100">
        <v>111</v>
      </c>
      <c r="B146" s="121">
        <f t="shared" si="10"/>
        <v>9941346.0479636304</v>
      </c>
      <c r="C146" s="122">
        <f t="shared" si="12"/>
        <v>1012451.3816488149</v>
      </c>
      <c r="D146" s="123">
        <f t="shared" si="13"/>
        <v>33137.820159878771</v>
      </c>
      <c r="E146" s="124">
        <f t="shared" si="11"/>
        <v>979313.56148893607</v>
      </c>
      <c r="F146" s="144"/>
      <c r="G146" s="144"/>
      <c r="H146" s="67"/>
    </row>
    <row r="147" spans="1:8" x14ac:dyDescent="0.25">
      <c r="A147" s="100">
        <v>112</v>
      </c>
      <c r="B147" s="121">
        <f t="shared" si="10"/>
        <v>8962032.4864746947</v>
      </c>
      <c r="C147" s="122">
        <f t="shared" si="12"/>
        <v>1012451.3816488149</v>
      </c>
      <c r="D147" s="123">
        <f t="shared" si="13"/>
        <v>29873.441621582318</v>
      </c>
      <c r="E147" s="124">
        <f t="shared" si="11"/>
        <v>982577.94002723251</v>
      </c>
      <c r="F147" s="144"/>
      <c r="G147" s="144"/>
      <c r="H147" s="67"/>
    </row>
    <row r="148" spans="1:8" x14ac:dyDescent="0.25">
      <c r="A148" s="100">
        <v>113</v>
      </c>
      <c r="B148" s="121">
        <f t="shared" si="10"/>
        <v>7979454.5464474624</v>
      </c>
      <c r="C148" s="122">
        <f t="shared" si="12"/>
        <v>1012451.3816488149</v>
      </c>
      <c r="D148" s="123">
        <f t="shared" si="13"/>
        <v>26598.181821491544</v>
      </c>
      <c r="E148" s="124">
        <f t="shared" si="11"/>
        <v>985853.19982732332</v>
      </c>
      <c r="F148" s="144"/>
      <c r="G148" s="144"/>
      <c r="H148" s="67"/>
    </row>
    <row r="149" spans="1:8" x14ac:dyDescent="0.25">
      <c r="A149" s="100">
        <v>114</v>
      </c>
      <c r="B149" s="121">
        <f t="shared" si="10"/>
        <v>6993601.3466201387</v>
      </c>
      <c r="C149" s="122">
        <f t="shared" si="12"/>
        <v>1012451.3816488149</v>
      </c>
      <c r="D149" s="123">
        <f t="shared" si="13"/>
        <v>23312.004488733797</v>
      </c>
      <c r="E149" s="124">
        <f t="shared" si="11"/>
        <v>989139.37716008106</v>
      </c>
      <c r="F149" s="144"/>
      <c r="G149" s="144"/>
      <c r="H149" s="67"/>
    </row>
    <row r="150" spans="1:8" x14ac:dyDescent="0.25">
      <c r="A150" s="100">
        <v>115</v>
      </c>
      <c r="B150" s="121">
        <f t="shared" si="10"/>
        <v>6004461.969460058</v>
      </c>
      <c r="C150" s="122">
        <f t="shared" si="12"/>
        <v>1012451.3816488149</v>
      </c>
      <c r="D150" s="123">
        <f t="shared" si="13"/>
        <v>20014.873231533529</v>
      </c>
      <c r="E150" s="124">
        <f t="shared" si="11"/>
        <v>992436.50841728132</v>
      </c>
      <c r="F150" s="144"/>
      <c r="G150" s="144"/>
      <c r="H150" s="67"/>
    </row>
    <row r="151" spans="1:8" x14ac:dyDescent="0.25">
      <c r="A151" s="100">
        <v>116</v>
      </c>
      <c r="B151" s="121">
        <f t="shared" si="10"/>
        <v>5012025.4610427767</v>
      </c>
      <c r="C151" s="122">
        <f t="shared" si="12"/>
        <v>1012451.3816488149</v>
      </c>
      <c r="D151" s="123">
        <f t="shared" si="13"/>
        <v>16706.751536809257</v>
      </c>
      <c r="E151" s="124">
        <f t="shared" si="11"/>
        <v>995744.63011200563</v>
      </c>
      <c r="F151" s="144"/>
      <c r="G151" s="144"/>
      <c r="H151" s="67"/>
    </row>
    <row r="152" spans="1:8" x14ac:dyDescent="0.25">
      <c r="A152" s="100">
        <v>117</v>
      </c>
      <c r="B152" s="121">
        <f t="shared" si="10"/>
        <v>4016280.8309307713</v>
      </c>
      <c r="C152" s="122">
        <f t="shared" si="12"/>
        <v>1012451.3816488149</v>
      </c>
      <c r="D152" s="123">
        <f t="shared" si="13"/>
        <v>13387.602769769239</v>
      </c>
      <c r="E152" s="124">
        <f t="shared" si="11"/>
        <v>999063.77887904563</v>
      </c>
      <c r="F152" s="144"/>
      <c r="G152" s="144"/>
      <c r="H152" s="67"/>
    </row>
    <row r="153" spans="1:8" x14ac:dyDescent="0.25">
      <c r="A153" s="100">
        <v>118</v>
      </c>
      <c r="B153" s="121">
        <f t="shared" si="10"/>
        <v>3017217.0520517258</v>
      </c>
      <c r="C153" s="122">
        <f t="shared" si="12"/>
        <v>1012451.3816488149</v>
      </c>
      <c r="D153" s="123">
        <f t="shared" si="13"/>
        <v>10057.390173505753</v>
      </c>
      <c r="E153" s="124">
        <f t="shared" si="11"/>
        <v>1002393.9914753091</v>
      </c>
      <c r="F153" s="144"/>
      <c r="G153" s="144"/>
      <c r="H153" s="67"/>
    </row>
    <row r="154" spans="1:8" x14ac:dyDescent="0.25">
      <c r="A154" s="100">
        <v>119</v>
      </c>
      <c r="B154" s="121">
        <f t="shared" si="10"/>
        <v>2014823.0605764166</v>
      </c>
      <c r="C154" s="122">
        <f t="shared" si="12"/>
        <v>1012451.3816488149</v>
      </c>
      <c r="D154" s="123">
        <f t="shared" si="13"/>
        <v>6716.0768685880557</v>
      </c>
      <c r="E154" s="124">
        <f t="shared" si="11"/>
        <v>1005735.3047802268</v>
      </c>
      <c r="F154" s="144"/>
      <c r="G154" s="144"/>
      <c r="H154" s="67"/>
    </row>
    <row r="155" spans="1:8" ht="13.8" thickBot="1" x14ac:dyDescent="0.3">
      <c r="A155" s="106">
        <v>120</v>
      </c>
      <c r="B155" s="125">
        <f t="shared" si="10"/>
        <v>1009087.7557961898</v>
      </c>
      <c r="C155" s="126">
        <f t="shared" si="12"/>
        <v>1012451.3816488149</v>
      </c>
      <c r="D155" s="127">
        <f t="shared" si="13"/>
        <v>3363.6258526539659</v>
      </c>
      <c r="E155" s="128">
        <f t="shared" si="11"/>
        <v>1009087.7557961609</v>
      </c>
      <c r="F155" s="144"/>
      <c r="G155" s="144"/>
      <c r="H155" s="67"/>
    </row>
  </sheetData>
  <mergeCells count="20">
    <mergeCell ref="G37:G38"/>
    <mergeCell ref="H37:H38"/>
    <mergeCell ref="G39:G41"/>
    <mergeCell ref="H39:H41"/>
    <mergeCell ref="A34:E34"/>
    <mergeCell ref="F34:H34"/>
    <mergeCell ref="G42:G44"/>
    <mergeCell ref="H42:H44"/>
    <mergeCell ref="G48:G53"/>
    <mergeCell ref="H48:H53"/>
    <mergeCell ref="H45:H47"/>
    <mergeCell ref="G45:G47"/>
    <mergeCell ref="G60:G71"/>
    <mergeCell ref="H60:H71"/>
    <mergeCell ref="G54:G59"/>
    <mergeCell ref="H54:H59"/>
    <mergeCell ref="G84:G95"/>
    <mergeCell ref="H84:H95"/>
    <mergeCell ref="G72:G83"/>
    <mergeCell ref="H72:H8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P173"/>
  <sheetViews>
    <sheetView zoomScale="85" zoomScaleNormal="85" workbookViewId="0"/>
  </sheetViews>
  <sheetFormatPr defaultRowHeight="13.2" x14ac:dyDescent="0.25"/>
  <cols>
    <col min="1" max="1" width="21" customWidth="1"/>
    <col min="2" max="2" width="20.6640625" bestFit="1" customWidth="1"/>
    <col min="3" max="3" width="18.109375" bestFit="1" customWidth="1"/>
    <col min="4" max="4" width="13" bestFit="1" customWidth="1"/>
    <col min="5" max="5" width="14.5546875" bestFit="1" customWidth="1"/>
    <col min="6" max="6" width="14.5546875" customWidth="1"/>
    <col min="7" max="8" width="14.6640625" customWidth="1"/>
    <col min="9" max="9" width="26.6640625" customWidth="1"/>
    <col min="10" max="10" width="23.21875" bestFit="1" customWidth="1"/>
    <col min="11" max="12" width="15" bestFit="1" customWidth="1"/>
    <col min="13" max="13" width="13.88671875" bestFit="1" customWidth="1"/>
    <col min="14" max="14" width="7.6640625" bestFit="1" customWidth="1"/>
    <col min="15" max="18" width="16.33203125" bestFit="1" customWidth="1"/>
  </cols>
  <sheetData>
    <row r="1" spans="1:15" ht="80.25" customHeight="1" thickBot="1" x14ac:dyDescent="0.3"/>
    <row r="2" spans="1:15" ht="40.799999999999997" thickTop="1" thickBot="1" x14ac:dyDescent="0.3">
      <c r="A2" s="28" t="s">
        <v>16</v>
      </c>
      <c r="B2" s="28" t="s">
        <v>15</v>
      </c>
      <c r="C2" s="28" t="s">
        <v>14</v>
      </c>
      <c r="D2" s="15" t="s">
        <v>13</v>
      </c>
      <c r="E2" s="15" t="s">
        <v>12</v>
      </c>
      <c r="F2" s="192" t="s">
        <v>131</v>
      </c>
      <c r="G2" s="192" t="s">
        <v>132</v>
      </c>
      <c r="H2" s="147" t="s">
        <v>139</v>
      </c>
      <c r="I2" s="15" t="s">
        <v>11</v>
      </c>
      <c r="J2" s="15" t="s">
        <v>10</v>
      </c>
    </row>
    <row r="3" spans="1:15" ht="14.4" thickTop="1" thickBot="1" x14ac:dyDescent="0.3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 t="s">
        <v>138</v>
      </c>
      <c r="G3" s="15" t="s">
        <v>137</v>
      </c>
      <c r="H3" s="15">
        <v>8</v>
      </c>
      <c r="I3" s="15">
        <v>9</v>
      </c>
      <c r="J3" s="15">
        <v>10</v>
      </c>
    </row>
    <row r="4" spans="1:15" ht="14.4" thickTop="1" thickBot="1" x14ac:dyDescent="0.3">
      <c r="A4" s="15" t="s">
        <v>9</v>
      </c>
      <c r="B4" s="15" t="s">
        <v>8</v>
      </c>
      <c r="C4" s="15" t="s">
        <v>7</v>
      </c>
      <c r="D4" s="15" t="s">
        <v>6</v>
      </c>
      <c r="E4" s="15" t="s">
        <v>5</v>
      </c>
      <c r="F4" s="15" t="s">
        <v>4</v>
      </c>
      <c r="G4" s="15" t="s">
        <v>3</v>
      </c>
      <c r="H4" s="15" t="s">
        <v>2</v>
      </c>
      <c r="I4" s="15" t="s">
        <v>133</v>
      </c>
      <c r="J4" s="15" t="s">
        <v>134</v>
      </c>
    </row>
    <row r="5" spans="1:15" ht="13.8" thickTop="1" x14ac:dyDescent="0.25">
      <c r="A5" s="166" t="s">
        <v>33</v>
      </c>
      <c r="B5" s="17" t="s">
        <v>51</v>
      </c>
      <c r="C5" s="225" t="s">
        <v>77</v>
      </c>
      <c r="D5" s="17" t="s">
        <v>54</v>
      </c>
      <c r="E5" s="18" t="s">
        <v>68</v>
      </c>
      <c r="F5" s="217" t="s">
        <v>144</v>
      </c>
      <c r="G5" s="200">
        <v>0</v>
      </c>
      <c r="H5" s="200">
        <v>0</v>
      </c>
      <c r="I5" s="218">
        <f>+K46</f>
        <v>583333.33333333337</v>
      </c>
      <c r="J5" s="219">
        <v>0</v>
      </c>
    </row>
    <row r="6" spans="1:15" x14ac:dyDescent="0.25">
      <c r="A6" s="167" t="s">
        <v>33</v>
      </c>
      <c r="B6" s="20" t="s">
        <v>51</v>
      </c>
      <c r="C6" s="226" t="s">
        <v>77</v>
      </c>
      <c r="D6" s="26" t="s">
        <v>54</v>
      </c>
      <c r="E6" s="22" t="s">
        <v>55</v>
      </c>
      <c r="F6" s="220" t="s">
        <v>144</v>
      </c>
      <c r="G6" s="202">
        <v>0</v>
      </c>
      <c r="H6" s="203">
        <v>0</v>
      </c>
      <c r="I6" s="221">
        <f>+K47</f>
        <v>1156150.9113466679</v>
      </c>
      <c r="J6" s="222">
        <v>0</v>
      </c>
      <c r="N6" s="23"/>
    </row>
    <row r="7" spans="1:15" x14ac:dyDescent="0.25">
      <c r="A7" s="167" t="s">
        <v>33</v>
      </c>
      <c r="B7" s="20" t="s">
        <v>51</v>
      </c>
      <c r="C7" s="226" t="s">
        <v>77</v>
      </c>
      <c r="D7" s="26" t="s">
        <v>54</v>
      </c>
      <c r="E7" s="22" t="s">
        <v>56</v>
      </c>
      <c r="F7" s="220" t="s">
        <v>144</v>
      </c>
      <c r="G7" s="202">
        <v>0</v>
      </c>
      <c r="H7" s="203">
        <v>0</v>
      </c>
      <c r="I7" s="221">
        <f>+K49</f>
        <v>1706237.151540583</v>
      </c>
      <c r="J7" s="222">
        <v>0</v>
      </c>
    </row>
    <row r="8" spans="1:15" x14ac:dyDescent="0.25">
      <c r="A8" s="167" t="s">
        <v>33</v>
      </c>
      <c r="B8" s="20" t="s">
        <v>51</v>
      </c>
      <c r="C8" s="226" t="s">
        <v>77</v>
      </c>
      <c r="D8" s="26" t="s">
        <v>54</v>
      </c>
      <c r="E8" s="22" t="s">
        <v>57</v>
      </c>
      <c r="F8" s="220" t="s">
        <v>144</v>
      </c>
      <c r="G8" s="202">
        <v>0</v>
      </c>
      <c r="H8" s="203">
        <v>0</v>
      </c>
      <c r="I8" s="221">
        <f>+K52</f>
        <v>1670018.4133325235</v>
      </c>
      <c r="J8" s="222">
        <v>0</v>
      </c>
    </row>
    <row r="9" spans="1:15" x14ac:dyDescent="0.25">
      <c r="A9" s="167" t="s">
        <v>33</v>
      </c>
      <c r="B9" s="20" t="s">
        <v>51</v>
      </c>
      <c r="C9" s="226" t="s">
        <v>77</v>
      </c>
      <c r="D9" s="26" t="s">
        <v>54</v>
      </c>
      <c r="E9" s="22" t="s">
        <v>58</v>
      </c>
      <c r="F9" s="220" t="s">
        <v>144</v>
      </c>
      <c r="G9" s="202">
        <v>0</v>
      </c>
      <c r="H9" s="203">
        <v>0</v>
      </c>
      <c r="I9" s="221">
        <f>+K55</f>
        <v>1630971.8754062231</v>
      </c>
      <c r="J9" s="222">
        <v>0</v>
      </c>
    </row>
    <row r="10" spans="1:15" x14ac:dyDescent="0.25">
      <c r="A10" s="167" t="s">
        <v>33</v>
      </c>
      <c r="B10" s="20" t="s">
        <v>51</v>
      </c>
      <c r="C10" s="226" t="s">
        <v>77</v>
      </c>
      <c r="D10" s="26" t="s">
        <v>54</v>
      </c>
      <c r="E10" s="22" t="s">
        <v>59</v>
      </c>
      <c r="F10" s="220" t="s">
        <v>144</v>
      </c>
      <c r="G10" s="202">
        <v>0</v>
      </c>
      <c r="H10" s="203">
        <v>0</v>
      </c>
      <c r="I10" s="221">
        <f>+K58</f>
        <v>3134303.2592384531</v>
      </c>
      <c r="J10" s="222">
        <v>0</v>
      </c>
    </row>
    <row r="11" spans="1:15" x14ac:dyDescent="0.25">
      <c r="A11" s="167" t="s">
        <v>33</v>
      </c>
      <c r="B11" s="20" t="s">
        <v>51</v>
      </c>
      <c r="C11" s="226" t="s">
        <v>77</v>
      </c>
      <c r="D11" s="26" t="s">
        <v>54</v>
      </c>
      <c r="E11" s="22" t="s">
        <v>60</v>
      </c>
      <c r="F11" s="220" t="s">
        <v>144</v>
      </c>
      <c r="G11" s="202">
        <v>0</v>
      </c>
      <c r="H11" s="203">
        <v>0</v>
      </c>
      <c r="I11" s="221">
        <f>+K64</f>
        <v>2948427.4759393274</v>
      </c>
      <c r="J11" s="222">
        <v>0</v>
      </c>
    </row>
    <row r="12" spans="1:15" x14ac:dyDescent="0.25">
      <c r="A12" s="167" t="s">
        <v>33</v>
      </c>
      <c r="B12" s="20" t="s">
        <v>51</v>
      </c>
      <c r="C12" s="226" t="s">
        <v>77</v>
      </c>
      <c r="D12" s="26" t="s">
        <v>54</v>
      </c>
      <c r="E12" s="22" t="s">
        <v>61</v>
      </c>
      <c r="F12" s="220" t="s">
        <v>144</v>
      </c>
      <c r="G12" s="202">
        <v>0</v>
      </c>
      <c r="H12" s="203">
        <v>0</v>
      </c>
      <c r="I12" s="221">
        <f>+K70</f>
        <v>5281187.1547591481</v>
      </c>
      <c r="J12" s="222">
        <v>0</v>
      </c>
    </row>
    <row r="13" spans="1:15" x14ac:dyDescent="0.25">
      <c r="A13" s="167" t="s">
        <v>33</v>
      </c>
      <c r="B13" s="20" t="s">
        <v>51</v>
      </c>
      <c r="C13" s="226" t="s">
        <v>77</v>
      </c>
      <c r="D13" s="26" t="s">
        <v>54</v>
      </c>
      <c r="E13" s="22" t="s">
        <v>62</v>
      </c>
      <c r="F13" s="220" t="s">
        <v>144</v>
      </c>
      <c r="G13" s="202">
        <v>0</v>
      </c>
      <c r="H13" s="203">
        <v>0</v>
      </c>
      <c r="I13" s="221">
        <f>+K82</f>
        <v>4448942.7452019015</v>
      </c>
      <c r="J13" s="222">
        <v>0</v>
      </c>
      <c r="N13" s="23"/>
      <c r="O13" s="61"/>
    </row>
    <row r="14" spans="1:15" x14ac:dyDescent="0.25">
      <c r="A14" s="167" t="s">
        <v>33</v>
      </c>
      <c r="B14" s="20" t="s">
        <v>51</v>
      </c>
      <c r="C14" s="226" t="s">
        <v>77</v>
      </c>
      <c r="D14" s="26" t="s">
        <v>54</v>
      </c>
      <c r="E14" s="22" t="s">
        <v>100</v>
      </c>
      <c r="F14" s="220" t="s">
        <v>144</v>
      </c>
      <c r="G14" s="202">
        <v>0</v>
      </c>
      <c r="H14" s="203">
        <v>0</v>
      </c>
      <c r="I14" s="221">
        <f>+K94</f>
        <v>3659798.0238290131</v>
      </c>
      <c r="J14" s="222">
        <v>0</v>
      </c>
      <c r="N14" s="23"/>
      <c r="O14" s="25"/>
    </row>
    <row r="15" spans="1:15" x14ac:dyDescent="0.25">
      <c r="A15" s="167" t="s">
        <v>33</v>
      </c>
      <c r="B15" s="20" t="s">
        <v>51</v>
      </c>
      <c r="C15" s="226" t="s">
        <v>77</v>
      </c>
      <c r="D15" s="26" t="s">
        <v>54</v>
      </c>
      <c r="E15" s="22" t="s">
        <v>92</v>
      </c>
      <c r="F15" s="220" t="s">
        <v>144</v>
      </c>
      <c r="G15" s="202">
        <v>0</v>
      </c>
      <c r="H15" s="203">
        <v>0</v>
      </c>
      <c r="I15" s="221">
        <f>+K106</f>
        <v>2913849.033461479</v>
      </c>
      <c r="J15" s="222">
        <v>0</v>
      </c>
      <c r="N15" s="23"/>
      <c r="O15" s="25"/>
    </row>
    <row r="16" spans="1:15" x14ac:dyDescent="0.25">
      <c r="A16" s="167" t="s">
        <v>33</v>
      </c>
      <c r="B16" s="20" t="s">
        <v>51</v>
      </c>
      <c r="C16" s="226" t="s">
        <v>77</v>
      </c>
      <c r="D16" s="26" t="s">
        <v>54</v>
      </c>
      <c r="E16" s="22" t="s">
        <v>114</v>
      </c>
      <c r="F16" s="220" t="s">
        <v>144</v>
      </c>
      <c r="G16" s="202">
        <v>0</v>
      </c>
      <c r="H16" s="203">
        <v>0</v>
      </c>
      <c r="I16" s="221">
        <f>+K118</f>
        <v>2208471.0031550569</v>
      </c>
      <c r="J16" s="222">
        <v>0</v>
      </c>
      <c r="N16" s="23"/>
      <c r="O16" s="25"/>
    </row>
    <row r="17" spans="1:15" x14ac:dyDescent="0.25">
      <c r="A17" s="167" t="s">
        <v>33</v>
      </c>
      <c r="B17" s="20" t="s">
        <v>51</v>
      </c>
      <c r="C17" s="226" t="s">
        <v>77</v>
      </c>
      <c r="D17" s="26" t="s">
        <v>54</v>
      </c>
      <c r="E17" s="22" t="s">
        <v>115</v>
      </c>
      <c r="F17" s="220" t="s">
        <v>144</v>
      </c>
      <c r="G17" s="202">
        <v>0</v>
      </c>
      <c r="H17" s="203">
        <v>0</v>
      </c>
      <c r="I17" s="221">
        <f>+K130</f>
        <v>1541196.385568457</v>
      </c>
      <c r="J17" s="222">
        <v>0</v>
      </c>
      <c r="N17" s="23"/>
      <c r="O17" s="25"/>
    </row>
    <row r="18" spans="1:15" x14ac:dyDescent="0.25">
      <c r="A18" s="167" t="s">
        <v>33</v>
      </c>
      <c r="B18" s="20" t="s">
        <v>51</v>
      </c>
      <c r="C18" s="226" t="s">
        <v>77</v>
      </c>
      <c r="D18" s="26" t="s">
        <v>54</v>
      </c>
      <c r="E18" s="22" t="s">
        <v>116</v>
      </c>
      <c r="F18" s="220" t="s">
        <v>144</v>
      </c>
      <c r="G18" s="202">
        <v>0</v>
      </c>
      <c r="H18" s="203">
        <v>0</v>
      </c>
      <c r="I18" s="221">
        <f>+K142</f>
        <v>909705.42145837226</v>
      </c>
      <c r="J18" s="222">
        <v>0</v>
      </c>
      <c r="N18" s="23"/>
      <c r="O18" s="25"/>
    </row>
    <row r="19" spans="1:15" x14ac:dyDescent="0.25">
      <c r="A19" s="167" t="s">
        <v>33</v>
      </c>
      <c r="B19" s="20" t="s">
        <v>51</v>
      </c>
      <c r="C19" s="226" t="s">
        <v>77</v>
      </c>
      <c r="D19" s="26" t="s">
        <v>54</v>
      </c>
      <c r="E19" s="22" t="s">
        <v>117</v>
      </c>
      <c r="F19" s="220" t="s">
        <v>144</v>
      </c>
      <c r="G19" s="202">
        <v>0</v>
      </c>
      <c r="H19" s="203">
        <v>0</v>
      </c>
      <c r="I19" s="221">
        <f>+K154</f>
        <v>311817.27028818463</v>
      </c>
      <c r="J19" s="222">
        <v>0</v>
      </c>
      <c r="N19" s="23"/>
      <c r="O19" s="25"/>
    </row>
    <row r="20" spans="1:15" x14ac:dyDescent="0.25">
      <c r="A20" s="167" t="s">
        <v>33</v>
      </c>
      <c r="B20" s="20" t="s">
        <v>51</v>
      </c>
      <c r="C20" s="226" t="s">
        <v>77</v>
      </c>
      <c r="D20" s="26" t="s">
        <v>53</v>
      </c>
      <c r="E20" s="22" t="s">
        <v>68</v>
      </c>
      <c r="F20" s="220" t="s">
        <v>144</v>
      </c>
      <c r="G20" s="202">
        <v>7</v>
      </c>
      <c r="H20" s="203">
        <v>2.34</v>
      </c>
      <c r="I20" s="221">
        <f>+L46</f>
        <v>594337.04255712149</v>
      </c>
      <c r="J20" s="222">
        <v>0</v>
      </c>
      <c r="N20" s="23"/>
      <c r="O20" s="25"/>
    </row>
    <row r="21" spans="1:15" x14ac:dyDescent="0.25">
      <c r="A21" s="167" t="s">
        <v>33</v>
      </c>
      <c r="B21" s="20" t="s">
        <v>51</v>
      </c>
      <c r="C21" s="226" t="s">
        <v>77</v>
      </c>
      <c r="D21" s="26" t="s">
        <v>53</v>
      </c>
      <c r="E21" s="22" t="s">
        <v>55</v>
      </c>
      <c r="F21" s="220" t="s">
        <v>144</v>
      </c>
      <c r="G21" s="202">
        <v>7</v>
      </c>
      <c r="H21" s="203">
        <v>2.34</v>
      </c>
      <c r="I21" s="221">
        <f>+L47</f>
        <v>1247484.9720115685</v>
      </c>
      <c r="J21" s="222">
        <v>0</v>
      </c>
      <c r="N21" s="23"/>
      <c r="O21" s="25"/>
    </row>
    <row r="22" spans="1:15" x14ac:dyDescent="0.25">
      <c r="A22" s="167" t="s">
        <v>33</v>
      </c>
      <c r="B22" s="20" t="s">
        <v>51</v>
      </c>
      <c r="C22" s="226" t="s">
        <v>77</v>
      </c>
      <c r="D22" s="26" t="s">
        <v>53</v>
      </c>
      <c r="E22" s="22" t="s">
        <v>56</v>
      </c>
      <c r="F22" s="220" t="s">
        <v>144</v>
      </c>
      <c r="G22" s="202">
        <v>7</v>
      </c>
      <c r="H22" s="203">
        <v>2.34</v>
      </c>
      <c r="I22" s="221">
        <f>+L49</f>
        <v>2014201.2319383072</v>
      </c>
      <c r="J22" s="222">
        <v>0</v>
      </c>
      <c r="N22" s="23"/>
      <c r="O22" s="25"/>
    </row>
    <row r="23" spans="1:15" x14ac:dyDescent="0.25">
      <c r="A23" s="167" t="s">
        <v>33</v>
      </c>
      <c r="B23" s="20" t="s">
        <v>51</v>
      </c>
      <c r="C23" s="226" t="s">
        <v>77</v>
      </c>
      <c r="D23" s="26" t="s">
        <v>53</v>
      </c>
      <c r="E23" s="22" t="s">
        <v>57</v>
      </c>
      <c r="F23" s="220" t="s">
        <v>144</v>
      </c>
      <c r="G23" s="202">
        <v>7</v>
      </c>
      <c r="H23" s="203">
        <v>2.34</v>
      </c>
      <c r="I23" s="221">
        <f>+L52</f>
        <v>2178663.0319330464</v>
      </c>
      <c r="J23" s="222">
        <v>0</v>
      </c>
      <c r="N23" s="23"/>
      <c r="O23" s="25"/>
    </row>
    <row r="24" spans="1:15" x14ac:dyDescent="0.25">
      <c r="A24" s="167" t="s">
        <v>33</v>
      </c>
      <c r="B24" s="20" t="s">
        <v>51</v>
      </c>
      <c r="C24" s="226" t="s">
        <v>77</v>
      </c>
      <c r="D24" s="26" t="s">
        <v>53</v>
      </c>
      <c r="E24" s="22" t="s">
        <v>58</v>
      </c>
      <c r="F24" s="220" t="s">
        <v>144</v>
      </c>
      <c r="G24" s="202">
        <v>7</v>
      </c>
      <c r="H24" s="203">
        <v>2.34</v>
      </c>
      <c r="I24" s="221">
        <f>+L55</f>
        <v>2334312.011469027</v>
      </c>
      <c r="J24" s="222">
        <v>0</v>
      </c>
      <c r="N24" s="23"/>
      <c r="O24" s="25"/>
    </row>
    <row r="25" spans="1:15" x14ac:dyDescent="0.25">
      <c r="A25" s="167" t="s">
        <v>33</v>
      </c>
      <c r="B25" s="20" t="s">
        <v>51</v>
      </c>
      <c r="C25" s="226" t="s">
        <v>77</v>
      </c>
      <c r="D25" s="26" t="s">
        <v>53</v>
      </c>
      <c r="E25" s="22" t="s">
        <v>59</v>
      </c>
      <c r="F25" s="220" t="s">
        <v>144</v>
      </c>
      <c r="G25" s="202">
        <v>7</v>
      </c>
      <c r="H25" s="203">
        <v>2.34</v>
      </c>
      <c r="I25" s="221">
        <f>+L58</f>
        <v>5096186.3273263024</v>
      </c>
      <c r="J25" s="222">
        <v>0</v>
      </c>
      <c r="N25" s="23"/>
      <c r="O25" s="25"/>
    </row>
    <row r="26" spans="1:15" x14ac:dyDescent="0.25">
      <c r="A26" s="167" t="s">
        <v>33</v>
      </c>
      <c r="B26" s="20" t="s">
        <v>51</v>
      </c>
      <c r="C26" s="226" t="s">
        <v>77</v>
      </c>
      <c r="D26" s="26" t="s">
        <v>53</v>
      </c>
      <c r="E26" s="22" t="s">
        <v>60</v>
      </c>
      <c r="F26" s="220" t="s">
        <v>144</v>
      </c>
      <c r="G26" s="202">
        <v>7</v>
      </c>
      <c r="H26" s="203">
        <v>2.34</v>
      </c>
      <c r="I26" s="221">
        <f>+L64</f>
        <v>5593303.6185697354</v>
      </c>
      <c r="J26" s="222">
        <v>0</v>
      </c>
    </row>
    <row r="27" spans="1:15" x14ac:dyDescent="0.25">
      <c r="A27" s="167" t="s">
        <v>33</v>
      </c>
      <c r="B27" s="20" t="s">
        <v>51</v>
      </c>
      <c r="C27" s="226" t="s">
        <v>77</v>
      </c>
      <c r="D27" s="26" t="s">
        <v>53</v>
      </c>
      <c r="E27" s="22" t="s">
        <v>61</v>
      </c>
      <c r="F27" s="220" t="s">
        <v>144</v>
      </c>
      <c r="G27" s="202">
        <v>7</v>
      </c>
      <c r="H27" s="203">
        <v>2.34</v>
      </c>
      <c r="I27" s="221">
        <f>+L70</f>
        <v>12029070.059782717</v>
      </c>
      <c r="J27" s="222">
        <v>0</v>
      </c>
    </row>
    <row r="28" spans="1:15" x14ac:dyDescent="0.25">
      <c r="A28" s="167" t="s">
        <v>33</v>
      </c>
      <c r="B28" s="20" t="s">
        <v>51</v>
      </c>
      <c r="C28" s="226" t="s">
        <v>77</v>
      </c>
      <c r="D28" s="26" t="s">
        <v>53</v>
      </c>
      <c r="E28" s="22" t="s">
        <v>62</v>
      </c>
      <c r="F28" s="220" t="s">
        <v>144</v>
      </c>
      <c r="G28" s="202">
        <v>7</v>
      </c>
      <c r="H28" s="203">
        <v>2.34</v>
      </c>
      <c r="I28" s="221">
        <f>+L82</f>
        <v>11567808.439288566</v>
      </c>
      <c r="J28" s="222">
        <v>0</v>
      </c>
      <c r="N28" s="23"/>
      <c r="O28" s="25"/>
    </row>
    <row r="29" spans="1:15" x14ac:dyDescent="0.25">
      <c r="A29" s="167" t="s">
        <v>33</v>
      </c>
      <c r="B29" s="20" t="s">
        <v>51</v>
      </c>
      <c r="C29" s="226" t="s">
        <v>77</v>
      </c>
      <c r="D29" s="26" t="s">
        <v>53</v>
      </c>
      <c r="E29" s="22" t="s">
        <v>100</v>
      </c>
      <c r="F29" s="220" t="s">
        <v>144</v>
      </c>
      <c r="G29" s="202">
        <v>7</v>
      </c>
      <c r="H29" s="203">
        <v>2.34</v>
      </c>
      <c r="I29" s="221">
        <f>+L94</f>
        <v>10932852.666240469</v>
      </c>
      <c r="J29" s="222">
        <v>0</v>
      </c>
      <c r="N29" s="23"/>
      <c r="O29" s="25"/>
    </row>
    <row r="30" spans="1:15" x14ac:dyDescent="0.25">
      <c r="A30" s="167" t="s">
        <v>33</v>
      </c>
      <c r="B30" s="20" t="s">
        <v>51</v>
      </c>
      <c r="C30" s="226" t="s">
        <v>77</v>
      </c>
      <c r="D30" s="26" t="s">
        <v>53</v>
      </c>
      <c r="E30" s="22" t="s">
        <v>92</v>
      </c>
      <c r="F30" s="220" t="s">
        <v>144</v>
      </c>
      <c r="G30" s="202">
        <v>7</v>
      </c>
      <c r="H30" s="203">
        <v>2.34</v>
      </c>
      <c r="I30" s="221">
        <f>+L106</f>
        <v>10336464.343991024</v>
      </c>
      <c r="J30" s="222">
        <v>0</v>
      </c>
      <c r="N30" s="23"/>
      <c r="O30" s="25"/>
    </row>
    <row r="31" spans="1:15" x14ac:dyDescent="0.25">
      <c r="A31" s="167" t="s">
        <v>33</v>
      </c>
      <c r="B31" s="20" t="s">
        <v>51</v>
      </c>
      <c r="C31" s="226" t="s">
        <v>77</v>
      </c>
      <c r="D31" s="26" t="s">
        <v>53</v>
      </c>
      <c r="E31" s="22" t="s">
        <v>114</v>
      </c>
      <c r="F31" s="220" t="s">
        <v>144</v>
      </c>
      <c r="G31" s="202">
        <v>7</v>
      </c>
      <c r="H31" s="203">
        <v>2.34</v>
      </c>
      <c r="I31" s="221">
        <f>+L118</f>
        <v>9776333.1640804317</v>
      </c>
      <c r="J31" s="222">
        <v>0</v>
      </c>
      <c r="N31" s="23"/>
      <c r="O31" s="25"/>
    </row>
    <row r="32" spans="1:15" x14ac:dyDescent="0.25">
      <c r="A32" s="167" t="s">
        <v>33</v>
      </c>
      <c r="B32" s="20" t="s">
        <v>51</v>
      </c>
      <c r="C32" s="226" t="s">
        <v>77</v>
      </c>
      <c r="D32" s="26" t="s">
        <v>53</v>
      </c>
      <c r="E32" s="22" t="s">
        <v>115</v>
      </c>
      <c r="F32" s="220" t="s">
        <v>144</v>
      </c>
      <c r="G32" s="202">
        <v>7</v>
      </c>
      <c r="H32" s="203">
        <v>2.34</v>
      </c>
      <c r="I32" s="221">
        <f>+L130</f>
        <v>9250287.4662882388</v>
      </c>
      <c r="J32" s="222">
        <v>0</v>
      </c>
      <c r="N32" s="23"/>
      <c r="O32" s="25"/>
    </row>
    <row r="33" spans="1:16" x14ac:dyDescent="0.25">
      <c r="A33" s="167" t="s">
        <v>33</v>
      </c>
      <c r="B33" s="20" t="s">
        <v>51</v>
      </c>
      <c r="C33" s="226" t="s">
        <v>77</v>
      </c>
      <c r="D33" s="26" t="s">
        <v>53</v>
      </c>
      <c r="E33" s="22" t="s">
        <v>116</v>
      </c>
      <c r="F33" s="220" t="s">
        <v>144</v>
      </c>
      <c r="G33" s="202">
        <v>7</v>
      </c>
      <c r="H33" s="203">
        <v>2.34</v>
      </c>
      <c r="I33" s="221">
        <f>+L142</f>
        <v>8756285.919975454</v>
      </c>
      <c r="J33" s="222">
        <v>0</v>
      </c>
      <c r="N33" s="23"/>
      <c r="O33" s="25"/>
    </row>
    <row r="34" spans="1:16" ht="13.8" thickBot="1" x14ac:dyDescent="0.3">
      <c r="A34" s="189" t="s">
        <v>33</v>
      </c>
      <c r="B34" s="60" t="s">
        <v>51</v>
      </c>
      <c r="C34" s="190" t="s">
        <v>77</v>
      </c>
      <c r="D34" s="60" t="s">
        <v>53</v>
      </c>
      <c r="E34" s="60" t="s">
        <v>117</v>
      </c>
      <c r="F34" s="190" t="s">
        <v>144</v>
      </c>
      <c r="G34" s="216">
        <v>7</v>
      </c>
      <c r="H34" s="216">
        <v>2.34</v>
      </c>
      <c r="I34" s="223">
        <f>+L154</f>
        <v>8292409.7045479845</v>
      </c>
      <c r="J34" s="224">
        <v>0</v>
      </c>
    </row>
    <row r="35" spans="1:16" ht="13.8" thickTop="1" x14ac:dyDescent="0.25">
      <c r="E35" s="63"/>
      <c r="F35" s="63"/>
      <c r="G35" s="63"/>
      <c r="H35" s="63"/>
      <c r="I35" s="63"/>
    </row>
    <row r="36" spans="1:16" x14ac:dyDescent="0.25">
      <c r="A36" s="41" t="s">
        <v>34</v>
      </c>
      <c r="B36" s="42" t="s">
        <v>105</v>
      </c>
      <c r="E36" s="63"/>
      <c r="F36" s="63"/>
      <c r="G36" s="63"/>
      <c r="H36" s="63"/>
      <c r="I36" s="63"/>
    </row>
    <row r="37" spans="1:16" x14ac:dyDescent="0.25">
      <c r="A37" s="41" t="s">
        <v>16</v>
      </c>
      <c r="B37" s="42" t="s">
        <v>33</v>
      </c>
      <c r="E37" s="63"/>
      <c r="F37" s="63"/>
      <c r="G37" s="63"/>
      <c r="H37" s="63"/>
      <c r="I37" s="63"/>
    </row>
    <row r="38" spans="1:16" x14ac:dyDescent="0.25">
      <c r="A38" s="41" t="s">
        <v>79</v>
      </c>
      <c r="B38" s="42" t="s">
        <v>90</v>
      </c>
    </row>
    <row r="39" spans="1:16" x14ac:dyDescent="0.25">
      <c r="A39" s="41" t="s">
        <v>38</v>
      </c>
      <c r="B39" s="74">
        <v>7.0000000000000007E-2</v>
      </c>
      <c r="C39" s="75">
        <f>+B39/12</f>
        <v>5.8333333333333336E-3</v>
      </c>
    </row>
    <row r="40" spans="1:16" x14ac:dyDescent="0.25">
      <c r="A40" s="41" t="s">
        <v>14</v>
      </c>
      <c r="B40" s="42" t="s">
        <v>113</v>
      </c>
      <c r="D40" s="70"/>
    </row>
    <row r="41" spans="1:16" x14ac:dyDescent="0.25">
      <c r="A41" s="41" t="s">
        <v>35</v>
      </c>
      <c r="B41" s="42" t="s">
        <v>64</v>
      </c>
      <c r="I41" s="16"/>
      <c r="J41" s="25"/>
    </row>
    <row r="42" spans="1:16" ht="27.75" customHeight="1" thickBot="1" x14ac:dyDescent="0.3">
      <c r="A42" s="76" t="s">
        <v>107</v>
      </c>
      <c r="B42" s="42" t="s">
        <v>104</v>
      </c>
      <c r="H42" s="73"/>
      <c r="J42" s="25"/>
      <c r="K42" s="25"/>
    </row>
    <row r="43" spans="1:16" ht="13.8" thickBot="1" x14ac:dyDescent="0.3">
      <c r="J43" s="268" t="s">
        <v>99</v>
      </c>
      <c r="K43" s="269"/>
      <c r="L43" s="270"/>
    </row>
    <row r="44" spans="1:16" s="95" customFormat="1" x14ac:dyDescent="0.25">
      <c r="A44" s="264" t="s">
        <v>93</v>
      </c>
      <c r="B44" s="265"/>
      <c r="C44" s="265"/>
      <c r="D44" s="265"/>
      <c r="E44" s="265"/>
      <c r="F44" s="265"/>
      <c r="G44" s="265"/>
      <c r="H44" s="265"/>
      <c r="I44" s="266"/>
      <c r="J44" s="113"/>
      <c r="K44" s="267" t="s">
        <v>101</v>
      </c>
      <c r="L44" s="267"/>
      <c r="N44"/>
      <c r="O44"/>
      <c r="P44"/>
    </row>
    <row r="45" spans="1:16" s="95" customFormat="1" ht="53.4" thickBot="1" x14ac:dyDescent="0.3">
      <c r="A45" s="96" t="s">
        <v>89</v>
      </c>
      <c r="B45" s="97" t="s">
        <v>94</v>
      </c>
      <c r="C45" s="97" t="s">
        <v>95</v>
      </c>
      <c r="D45" s="97" t="s">
        <v>38</v>
      </c>
      <c r="E45" s="97" t="s">
        <v>96</v>
      </c>
      <c r="F45" s="141" t="s">
        <v>129</v>
      </c>
      <c r="G45" s="141" t="s">
        <v>130</v>
      </c>
      <c r="H45" s="97" t="s">
        <v>97</v>
      </c>
      <c r="I45" s="98" t="s">
        <v>98</v>
      </c>
      <c r="J45" s="47" t="s">
        <v>86</v>
      </c>
      <c r="K45" s="48" t="s">
        <v>38</v>
      </c>
      <c r="L45" s="48" t="s">
        <v>96</v>
      </c>
      <c r="N45"/>
      <c r="O45"/>
      <c r="P45"/>
    </row>
    <row r="46" spans="1:16" ht="13.8" thickBot="1" x14ac:dyDescent="0.3">
      <c r="A46" s="131">
        <v>1</v>
      </c>
      <c r="B46" s="45">
        <v>100000000</v>
      </c>
      <c r="C46" s="79">
        <f>+-PMT($C$39,120,+B46)</f>
        <v>1161084.7921862407</v>
      </c>
      <c r="D46" s="45">
        <f t="shared" ref="D46:D77" si="0">+B46*$C$39</f>
        <v>583333.33333333337</v>
      </c>
      <c r="E46" s="45">
        <f>+C46-D46</f>
        <v>577751.45885290729</v>
      </c>
      <c r="F46" s="77">
        <v>2E-3</v>
      </c>
      <c r="G46" s="78">
        <f>1-(1-F46)^(1/12)</f>
        <v>1.6681963994558124E-4</v>
      </c>
      <c r="H46" s="79">
        <f t="shared" ref="H46:H77" si="1">+(B46-E46)*G46</f>
        <v>16585.583704214248</v>
      </c>
      <c r="I46" s="80">
        <f t="shared" ref="I46:I77" si="2">+B46-H46-E46</f>
        <v>99405662.95744288</v>
      </c>
      <c r="J46" s="87">
        <f t="shared" ref="J46:J77" si="3">+A46/12</f>
        <v>8.3333333333333329E-2</v>
      </c>
      <c r="K46" s="88">
        <f>+D46</f>
        <v>583333.33333333337</v>
      </c>
      <c r="L46" s="232">
        <f>+E46+H46</f>
        <v>594337.04255712149</v>
      </c>
    </row>
    <row r="47" spans="1:16" x14ac:dyDescent="0.25">
      <c r="A47" s="131">
        <v>2</v>
      </c>
      <c r="B47" s="45">
        <f>+I46</f>
        <v>99405662.95744288</v>
      </c>
      <c r="C47" s="79">
        <f t="shared" ref="C47:C78" si="4">+-PMT($C$39,120-A46,+B47)</f>
        <v>1160891.1004392619</v>
      </c>
      <c r="D47" s="45">
        <f t="shared" si="0"/>
        <v>579866.3672517502</v>
      </c>
      <c r="E47" s="45">
        <f t="shared" ref="E47:E110" si="5">+C47-D47</f>
        <v>581024.73318751168</v>
      </c>
      <c r="F47" s="77">
        <f>+F46+0.002</f>
        <v>4.0000000000000001E-3</v>
      </c>
      <c r="G47" s="78">
        <f t="shared" ref="G47:G110" si="6">1-(1-F47)^(1/12)</f>
        <v>3.3394601074221431E-4</v>
      </c>
      <c r="H47" s="79">
        <f t="shared" si="1"/>
        <v>33002.093698032622</v>
      </c>
      <c r="I47" s="80">
        <f t="shared" si="2"/>
        <v>98791636.130557328</v>
      </c>
      <c r="J47" s="89">
        <f t="shared" si="3"/>
        <v>0.16666666666666666</v>
      </c>
      <c r="K47" s="255">
        <f>+D47+D48</f>
        <v>1156150.9113466679</v>
      </c>
      <c r="L47" s="258">
        <f>+E47+H47+E48+H48</f>
        <v>1247484.9720115685</v>
      </c>
    </row>
    <row r="48" spans="1:16" ht="13.8" thickBot="1" x14ac:dyDescent="0.3">
      <c r="A48" s="131">
        <v>3</v>
      </c>
      <c r="B48" s="45">
        <f t="shared" ref="B48:B111" si="7">+I47</f>
        <v>98791636.130557328</v>
      </c>
      <c r="C48" s="79">
        <f t="shared" si="4"/>
        <v>1160503.4254873637</v>
      </c>
      <c r="D48" s="45">
        <f t="shared" si="0"/>
        <v>576284.54409491783</v>
      </c>
      <c r="E48" s="45">
        <f t="shared" si="5"/>
        <v>584218.88139244588</v>
      </c>
      <c r="F48" s="77">
        <f t="shared" ref="F48:F75" si="8">+F47+0.002</f>
        <v>6.0000000000000001E-3</v>
      </c>
      <c r="G48" s="78">
        <f t="shared" si="6"/>
        <v>5.0138029400215167E-4</v>
      </c>
      <c r="H48" s="79">
        <f t="shared" si="1"/>
        <v>49239.263733578271</v>
      </c>
      <c r="I48" s="80">
        <f t="shared" si="2"/>
        <v>98158177.985431299</v>
      </c>
      <c r="J48" s="90">
        <f t="shared" si="3"/>
        <v>0.25</v>
      </c>
      <c r="K48" s="257"/>
      <c r="L48" s="260"/>
    </row>
    <row r="49" spans="1:12" x14ac:dyDescent="0.25">
      <c r="A49" s="131">
        <v>4</v>
      </c>
      <c r="B49" s="45">
        <f t="shared" si="7"/>
        <v>98158177.985431299</v>
      </c>
      <c r="C49" s="79">
        <f t="shared" si="4"/>
        <v>1159921.5719387024</v>
      </c>
      <c r="D49" s="45">
        <f t="shared" si="0"/>
        <v>572589.37158168259</v>
      </c>
      <c r="E49" s="45">
        <f t="shared" si="5"/>
        <v>587332.20035701978</v>
      </c>
      <c r="F49" s="77">
        <f t="shared" si="8"/>
        <v>8.0000000000000002E-3</v>
      </c>
      <c r="G49" s="78">
        <f t="shared" si="6"/>
        <v>6.6912367827864916E-4</v>
      </c>
      <c r="H49" s="79">
        <f t="shared" si="1"/>
        <v>65286.963224467734</v>
      </c>
      <c r="I49" s="80">
        <f t="shared" si="2"/>
        <v>97505558.821849808</v>
      </c>
      <c r="J49" s="89">
        <f t="shared" si="3"/>
        <v>0.33333333333333331</v>
      </c>
      <c r="K49" s="255">
        <f>+D49+D50+D51</f>
        <v>1706237.151540583</v>
      </c>
      <c r="L49" s="258">
        <f>+E49+H49+E50+H50+E51+H51</f>
        <v>2014201.2319383072</v>
      </c>
    </row>
    <row r="50" spans="1:12" x14ac:dyDescent="0.25">
      <c r="A50" s="131">
        <v>5</v>
      </c>
      <c r="B50" s="45">
        <f t="shared" si="7"/>
        <v>97505558.821849808</v>
      </c>
      <c r="C50" s="79">
        <f t="shared" si="4"/>
        <v>1159145.440949972</v>
      </c>
      <c r="D50" s="45">
        <f t="shared" si="0"/>
        <v>568782.42646079056</v>
      </c>
      <c r="E50" s="45">
        <f t="shared" si="5"/>
        <v>590363.01448918146</v>
      </c>
      <c r="F50" s="77">
        <f t="shared" si="8"/>
        <v>0.01</v>
      </c>
      <c r="G50" s="78">
        <f t="shared" si="6"/>
        <v>8.3717735912058888E-4</v>
      </c>
      <c r="H50" s="79">
        <f t="shared" si="1"/>
        <v>81135.207684660927</v>
      </c>
      <c r="I50" s="80">
        <f t="shared" si="2"/>
        <v>96834060.599675953</v>
      </c>
      <c r="J50" s="91">
        <f t="shared" si="3"/>
        <v>0.41666666666666669</v>
      </c>
      <c r="K50" s="256"/>
      <c r="L50" s="259"/>
    </row>
    <row r="51" spans="1:12" ht="13.8" thickBot="1" x14ac:dyDescent="0.3">
      <c r="A51" s="131">
        <v>6</v>
      </c>
      <c r="B51" s="45">
        <f t="shared" si="7"/>
        <v>96834060.599675953</v>
      </c>
      <c r="C51" s="79">
        <f t="shared" si="4"/>
        <v>1158175.0306308805</v>
      </c>
      <c r="D51" s="45">
        <f t="shared" si="0"/>
        <v>564865.35349810973</v>
      </c>
      <c r="E51" s="45">
        <f t="shared" si="5"/>
        <v>593309.67713277077</v>
      </c>
      <c r="F51" s="77">
        <f t="shared" si="8"/>
        <v>1.2E-2</v>
      </c>
      <c r="G51" s="78">
        <f t="shared" si="6"/>
        <v>1.0055425391276573E-3</v>
      </c>
      <c r="H51" s="79">
        <f t="shared" si="1"/>
        <v>96774.169050206503</v>
      </c>
      <c r="I51" s="80">
        <f t="shared" si="2"/>
        <v>96143976.753492981</v>
      </c>
      <c r="J51" s="90">
        <f t="shared" si="3"/>
        <v>0.5</v>
      </c>
      <c r="K51" s="257"/>
      <c r="L51" s="260"/>
    </row>
    <row r="52" spans="1:12" x14ac:dyDescent="0.25">
      <c r="A52" s="131">
        <v>7</v>
      </c>
      <c r="B52" s="45">
        <f t="shared" si="7"/>
        <v>96143976.753492981</v>
      </c>
      <c r="C52" s="79">
        <f t="shared" si="4"/>
        <v>1157010.4363698256</v>
      </c>
      <c r="D52" s="45">
        <f t="shared" si="0"/>
        <v>560839.86439537571</v>
      </c>
      <c r="E52" s="45">
        <f t="shared" si="5"/>
        <v>596170.57197444991</v>
      </c>
      <c r="F52" s="77">
        <f t="shared" si="8"/>
        <v>1.4E-2</v>
      </c>
      <c r="G52" s="78">
        <f t="shared" si="6"/>
        <v>1.1742204280067448E-3</v>
      </c>
      <c r="H52" s="79">
        <f t="shared" si="1"/>
        <v>112194.18586956817</v>
      </c>
      <c r="I52" s="80">
        <f t="shared" si="2"/>
        <v>95435611.99564895</v>
      </c>
      <c r="J52" s="89">
        <f t="shared" si="3"/>
        <v>0.58333333333333337</v>
      </c>
      <c r="K52" s="255">
        <f>+D52+D53+D54</f>
        <v>1670018.4133325235</v>
      </c>
      <c r="L52" s="258">
        <f>+E52+H52+E53+H53+E54+H54</f>
        <v>2178663.0319330464</v>
      </c>
    </row>
    <row r="53" spans="1:12" x14ac:dyDescent="0.25">
      <c r="A53" s="131">
        <v>8</v>
      </c>
      <c r="B53" s="45">
        <f t="shared" si="7"/>
        <v>95435611.99564895</v>
      </c>
      <c r="C53" s="79">
        <f t="shared" si="4"/>
        <v>1155651.8510800232</v>
      </c>
      <c r="D53" s="45">
        <f t="shared" si="0"/>
        <v>556707.73664128559</v>
      </c>
      <c r="E53" s="45">
        <f t="shared" si="5"/>
        <v>598944.11443873763</v>
      </c>
      <c r="F53" s="77">
        <f t="shared" si="8"/>
        <v>1.6E-2</v>
      </c>
      <c r="G53" s="78">
        <f t="shared" si="6"/>
        <v>1.3432122426282334E-3</v>
      </c>
      <c r="H53" s="79">
        <f t="shared" si="1"/>
        <v>127385.77334810932</v>
      </c>
      <c r="I53" s="80">
        <f t="shared" si="2"/>
        <v>94709282.1078621</v>
      </c>
      <c r="J53" s="91">
        <f t="shared" si="3"/>
        <v>0.66666666666666663</v>
      </c>
      <c r="K53" s="256"/>
      <c r="L53" s="259"/>
    </row>
    <row r="54" spans="1:12" ht="13.8" thickBot="1" x14ac:dyDescent="0.3">
      <c r="A54" s="131">
        <v>9</v>
      </c>
      <c r="B54" s="45">
        <f t="shared" si="7"/>
        <v>94709282.1078621</v>
      </c>
      <c r="C54" s="79">
        <f t="shared" si="4"/>
        <v>1154099.5653654365</v>
      </c>
      <c r="D54" s="45">
        <f t="shared" si="0"/>
        <v>552470.81229586224</v>
      </c>
      <c r="E54" s="45">
        <f t="shared" si="5"/>
        <v>601628.75306957425</v>
      </c>
      <c r="F54" s="77">
        <f t="shared" si="8"/>
        <v>1.8000000000000002E-2</v>
      </c>
      <c r="G54" s="78">
        <f t="shared" si="6"/>
        <v>1.5125192070827298E-3</v>
      </c>
      <c r="H54" s="79">
        <f t="shared" si="1"/>
        <v>142339.63323260719</v>
      </c>
      <c r="I54" s="80">
        <f t="shared" si="2"/>
        <v>93965313.721559912</v>
      </c>
      <c r="J54" s="90">
        <f t="shared" si="3"/>
        <v>0.75</v>
      </c>
      <c r="K54" s="257"/>
      <c r="L54" s="260"/>
    </row>
    <row r="55" spans="1:12" x14ac:dyDescent="0.25">
      <c r="A55" s="131">
        <v>10</v>
      </c>
      <c r="B55" s="45">
        <f t="shared" si="7"/>
        <v>93965313.721559912</v>
      </c>
      <c r="C55" s="79">
        <f t="shared" si="4"/>
        <v>1152353.9676059356</v>
      </c>
      <c r="D55" s="45">
        <f t="shared" si="0"/>
        <v>548130.99670909951</v>
      </c>
      <c r="E55" s="45">
        <f t="shared" si="5"/>
        <v>604222.97089683614</v>
      </c>
      <c r="F55" s="77">
        <f t="shared" si="8"/>
        <v>2.0000000000000004E-2</v>
      </c>
      <c r="G55" s="78">
        <f t="shared" si="6"/>
        <v>1.6821425527395739E-3</v>
      </c>
      <c r="H55" s="79">
        <f t="shared" si="1"/>
        <v>157046.66352187141</v>
      </c>
      <c r="I55" s="80">
        <f t="shared" si="2"/>
        <v>93204044.087141201</v>
      </c>
      <c r="J55" s="92">
        <f t="shared" si="3"/>
        <v>0.83333333333333337</v>
      </c>
      <c r="K55" s="255">
        <f>+D55+D56+D57</f>
        <v>1630971.8754062231</v>
      </c>
      <c r="L55" s="258">
        <f>+E55+H55+E56+H56+E57+H57</f>
        <v>2334312.011469027</v>
      </c>
    </row>
    <row r="56" spans="1:12" x14ac:dyDescent="0.25">
      <c r="A56" s="131">
        <v>11</v>
      </c>
      <c r="B56" s="45">
        <f t="shared" si="7"/>
        <v>93204044.087141201</v>
      </c>
      <c r="C56" s="79">
        <f t="shared" si="4"/>
        <v>1150415.5439612071</v>
      </c>
      <c r="D56" s="45">
        <f t="shared" si="0"/>
        <v>543690.25717499037</v>
      </c>
      <c r="E56" s="45">
        <f t="shared" si="5"/>
        <v>606725.28678621678</v>
      </c>
      <c r="F56" s="77">
        <f t="shared" si="8"/>
        <v>2.2000000000000006E-2</v>
      </c>
      <c r="G56" s="78">
        <f t="shared" si="6"/>
        <v>1.8520835183041262E-3</v>
      </c>
      <c r="H56" s="79">
        <f t="shared" si="1"/>
        <v>171497.96798929028</v>
      </c>
      <c r="I56" s="80">
        <f t="shared" si="2"/>
        <v>92425820.832365692</v>
      </c>
      <c r="J56" s="93">
        <f t="shared" si="3"/>
        <v>0.91666666666666663</v>
      </c>
      <c r="K56" s="256"/>
      <c r="L56" s="259"/>
    </row>
    <row r="57" spans="1:12" ht="13.8" thickBot="1" x14ac:dyDescent="0.3">
      <c r="A57" s="131">
        <v>12</v>
      </c>
      <c r="B57" s="45">
        <f t="shared" si="7"/>
        <v>92425820.832365692</v>
      </c>
      <c r="C57" s="79">
        <f t="shared" si="4"/>
        <v>1148284.8782930358</v>
      </c>
      <c r="D57" s="45">
        <f t="shared" si="0"/>
        <v>539150.62152213324</v>
      </c>
      <c r="E57" s="45">
        <f t="shared" si="5"/>
        <v>609134.25677090255</v>
      </c>
      <c r="F57" s="77">
        <f t="shared" si="8"/>
        <v>2.4000000000000007E-2</v>
      </c>
      <c r="G57" s="78">
        <f t="shared" si="6"/>
        <v>2.0223433498771648E-3</v>
      </c>
      <c r="H57" s="79">
        <f t="shared" si="1"/>
        <v>185684.86550391006</v>
      </c>
      <c r="I57" s="80">
        <f t="shared" si="2"/>
        <v>91631001.710090876</v>
      </c>
      <c r="J57" s="94">
        <f t="shared" si="3"/>
        <v>1</v>
      </c>
      <c r="K57" s="257"/>
      <c r="L57" s="260"/>
    </row>
    <row r="58" spans="1:12" x14ac:dyDescent="0.25">
      <c r="A58" s="131">
        <v>13</v>
      </c>
      <c r="B58" s="45">
        <f t="shared" si="7"/>
        <v>91631001.710090876</v>
      </c>
      <c r="C58" s="79">
        <f t="shared" si="4"/>
        <v>1145962.6520056552</v>
      </c>
      <c r="D58" s="45">
        <f t="shared" si="0"/>
        <v>534514.17664219684</v>
      </c>
      <c r="E58" s="45">
        <f t="shared" si="5"/>
        <v>611448.47536345839</v>
      </c>
      <c r="F58" s="77">
        <f t="shared" si="8"/>
        <v>2.6000000000000009E-2</v>
      </c>
      <c r="G58" s="78">
        <f t="shared" si="6"/>
        <v>2.1929233010143934E-3</v>
      </c>
      <c r="H58" s="79">
        <f t="shared" si="1"/>
        <v>199598.89913635375</v>
      </c>
      <c r="I58" s="80">
        <f t="shared" si="2"/>
        <v>90819954.335591063</v>
      </c>
      <c r="J58" s="92">
        <f t="shared" si="3"/>
        <v>1.0833333333333333</v>
      </c>
      <c r="K58" s="249">
        <f>+SUM(D58:D63)</f>
        <v>3134303.2592384531</v>
      </c>
      <c r="L58" s="252">
        <f>+SUM(E58:E63)+SUM(H58:H63)</f>
        <v>5096186.3273263024</v>
      </c>
    </row>
    <row r="59" spans="1:12" x14ac:dyDescent="0.25">
      <c r="A59" s="131">
        <v>14</v>
      </c>
      <c r="B59" s="45">
        <f t="shared" si="7"/>
        <v>90819954.335591063</v>
      </c>
      <c r="C59" s="79">
        <f t="shared" si="4"/>
        <v>1143449.64380398</v>
      </c>
      <c r="D59" s="45">
        <f t="shared" si="0"/>
        <v>529783.0669576145</v>
      </c>
      <c r="E59" s="45">
        <f t="shared" si="5"/>
        <v>613666.57684636547</v>
      </c>
      <c r="F59" s="77">
        <f t="shared" si="8"/>
        <v>2.8000000000000011E-2</v>
      </c>
      <c r="G59" s="78">
        <f t="shared" si="6"/>
        <v>2.3638246327857271E-3</v>
      </c>
      <c r="H59" s="79">
        <f t="shared" si="1"/>
        <v>213231.84503627833</v>
      </c>
      <c r="I59" s="80">
        <f t="shared" si="2"/>
        <v>89993055.913708419</v>
      </c>
      <c r="J59" s="93">
        <f t="shared" si="3"/>
        <v>1.1666666666666667</v>
      </c>
      <c r="K59" s="250"/>
      <c r="L59" s="253"/>
    </row>
    <row r="60" spans="1:12" x14ac:dyDescent="0.25">
      <c r="A60" s="131">
        <v>15</v>
      </c>
      <c r="B60" s="45">
        <f t="shared" si="7"/>
        <v>89993055.913708419</v>
      </c>
      <c r="C60" s="79">
        <f t="shared" si="4"/>
        <v>1140746.7293696059</v>
      </c>
      <c r="D60" s="45">
        <f t="shared" si="0"/>
        <v>524959.49282996578</v>
      </c>
      <c r="E60" s="45">
        <f t="shared" si="5"/>
        <v>615787.23653964011</v>
      </c>
      <c r="F60" s="77">
        <f t="shared" si="8"/>
        <v>3.0000000000000013E-2</v>
      </c>
      <c r="G60" s="78">
        <f t="shared" si="6"/>
        <v>2.5350486138366879E-3</v>
      </c>
      <c r="H60" s="79">
        <f t="shared" si="1"/>
        <v>226575.72106856591</v>
      </c>
      <c r="I60" s="80">
        <f t="shared" si="2"/>
        <v>89150692.956100211</v>
      </c>
      <c r="J60" s="93">
        <f t="shared" si="3"/>
        <v>1.25</v>
      </c>
      <c r="K60" s="250"/>
      <c r="L60" s="253"/>
    </row>
    <row r="61" spans="1:12" x14ac:dyDescent="0.25">
      <c r="A61" s="131">
        <v>16</v>
      </c>
      <c r="B61" s="45">
        <f t="shared" si="7"/>
        <v>89150692.956100211</v>
      </c>
      <c r="C61" s="79">
        <f t="shared" si="4"/>
        <v>1137854.8809545788</v>
      </c>
      <c r="D61" s="45">
        <f t="shared" si="0"/>
        <v>520045.70891058457</v>
      </c>
      <c r="E61" s="45">
        <f t="shared" si="5"/>
        <v>617809.17204399419</v>
      </c>
      <c r="F61" s="77">
        <f t="shared" si="8"/>
        <v>3.2000000000000015E-2</v>
      </c>
      <c r="G61" s="78">
        <f t="shared" si="6"/>
        <v>2.7065965204493558E-3</v>
      </c>
      <c r="H61" s="79">
        <f t="shared" si="1"/>
        <v>239622.79519527376</v>
      </c>
      <c r="I61" s="80">
        <f t="shared" si="2"/>
        <v>88293260.98886095</v>
      </c>
      <c r="J61" s="93">
        <f t="shared" si="3"/>
        <v>1.3333333333333333</v>
      </c>
      <c r="K61" s="250"/>
      <c r="L61" s="253"/>
    </row>
    <row r="62" spans="1:12" x14ac:dyDescent="0.25">
      <c r="A62" s="131">
        <v>17</v>
      </c>
      <c r="B62" s="45">
        <f t="shared" si="7"/>
        <v>88293260.98886095</v>
      </c>
      <c r="C62" s="79">
        <f t="shared" si="4"/>
        <v>1134775.1668930107</v>
      </c>
      <c r="D62" s="45">
        <f t="shared" si="0"/>
        <v>515044.02243502223</v>
      </c>
      <c r="E62" s="45">
        <f t="shared" si="5"/>
        <v>619731.14445798844</v>
      </c>
      <c r="F62" s="77">
        <f t="shared" si="8"/>
        <v>3.4000000000000016E-2</v>
      </c>
      <c r="G62" s="78">
        <f t="shared" si="6"/>
        <v>2.8784696366042084E-3</v>
      </c>
      <c r="H62" s="79">
        <f t="shared" si="1"/>
        <v>252365.59359102685</v>
      </c>
      <c r="I62" s="80">
        <f t="shared" si="2"/>
        <v>87421164.250811934</v>
      </c>
      <c r="J62" s="93">
        <f t="shared" si="3"/>
        <v>1.4166666666666667</v>
      </c>
      <c r="K62" s="250"/>
      <c r="L62" s="253"/>
    </row>
    <row r="63" spans="1:12" ht="13.8" thickBot="1" x14ac:dyDescent="0.3">
      <c r="A63" s="131">
        <v>18</v>
      </c>
      <c r="B63" s="45">
        <f t="shared" si="7"/>
        <v>87421164.250811934</v>
      </c>
      <c r="C63" s="79">
        <f t="shared" si="4"/>
        <v>1131508.7510307371</v>
      </c>
      <c r="D63" s="45">
        <f t="shared" si="0"/>
        <v>509956.79146306962</v>
      </c>
      <c r="E63" s="45">
        <f t="shared" si="5"/>
        <v>621551.95956766745</v>
      </c>
      <c r="F63" s="77">
        <f t="shared" si="8"/>
        <v>3.6000000000000018E-2</v>
      </c>
      <c r="G63" s="78">
        <f t="shared" si="6"/>
        <v>3.0506692540422931E-3</v>
      </c>
      <c r="H63" s="79">
        <f t="shared" si="1"/>
        <v>264796.90847969038</v>
      </c>
      <c r="I63" s="80">
        <f t="shared" si="2"/>
        <v>86534815.382764578</v>
      </c>
      <c r="J63" s="94">
        <f t="shared" si="3"/>
        <v>1.5</v>
      </c>
      <c r="K63" s="251"/>
      <c r="L63" s="254"/>
    </row>
    <row r="64" spans="1:12" x14ac:dyDescent="0.25">
      <c r="A64" s="131">
        <v>19</v>
      </c>
      <c r="B64" s="45">
        <f t="shared" si="7"/>
        <v>86534815.382764578</v>
      </c>
      <c r="C64" s="79">
        <f t="shared" si="4"/>
        <v>1128056.8920732876</v>
      </c>
      <c r="D64" s="45">
        <f t="shared" si="0"/>
        <v>504786.42306612671</v>
      </c>
      <c r="E64" s="45">
        <f t="shared" si="5"/>
        <v>623270.46900716098</v>
      </c>
      <c r="F64" s="77">
        <f t="shared" si="8"/>
        <v>3.800000000000002E-2</v>
      </c>
      <c r="G64" s="78">
        <f t="shared" si="6"/>
        <v>3.223196672329065E-3</v>
      </c>
      <c r="H64" s="79">
        <f t="shared" si="1"/>
        <v>276909.80568067188</v>
      </c>
      <c r="I64" s="80">
        <f t="shared" si="2"/>
        <v>85634635.108076736</v>
      </c>
      <c r="J64" s="92">
        <f t="shared" si="3"/>
        <v>1.5833333333333333</v>
      </c>
      <c r="K64" s="249">
        <f>+SUM(D64:D69)</f>
        <v>2948427.4759393274</v>
      </c>
      <c r="L64" s="252">
        <f>+SUM(E64:E69)+SUM(H64:H69)</f>
        <v>5593303.6185697354</v>
      </c>
    </row>
    <row r="65" spans="1:12" x14ac:dyDescent="0.25">
      <c r="A65" s="131">
        <v>20</v>
      </c>
      <c r="B65" s="45">
        <f t="shared" si="7"/>
        <v>85634635.108076736</v>
      </c>
      <c r="C65" s="79">
        <f t="shared" si="4"/>
        <v>1124420.942852559</v>
      </c>
      <c r="D65" s="45">
        <f t="shared" si="0"/>
        <v>499535.37146378099</v>
      </c>
      <c r="E65" s="45">
        <f t="shared" si="5"/>
        <v>624885.57138877804</v>
      </c>
      <c r="F65" s="77">
        <f t="shared" si="8"/>
        <v>4.0000000000000022E-2</v>
      </c>
      <c r="G65" s="78">
        <f t="shared" si="6"/>
        <v>3.3960531989175591E-3</v>
      </c>
      <c r="H65" s="79">
        <f t="shared" si="1"/>
        <v>288697.63185324962</v>
      </c>
      <c r="I65" s="80">
        <f t="shared" si="2"/>
        <v>84721051.904834703</v>
      </c>
      <c r="J65" s="93">
        <f t="shared" si="3"/>
        <v>1.6666666666666667</v>
      </c>
      <c r="K65" s="250"/>
      <c r="L65" s="253"/>
    </row>
    <row r="66" spans="1:12" x14ac:dyDescent="0.25">
      <c r="A66" s="131">
        <v>21</v>
      </c>
      <c r="B66" s="45">
        <f t="shared" si="7"/>
        <v>84721051.904834703</v>
      </c>
      <c r="C66" s="79">
        <f t="shared" si="4"/>
        <v>1120602.3495126546</v>
      </c>
      <c r="D66" s="45">
        <f t="shared" si="0"/>
        <v>494206.13611153577</v>
      </c>
      <c r="E66" s="45">
        <f t="shared" si="5"/>
        <v>626396.21340111876</v>
      </c>
      <c r="F66" s="77">
        <f t="shared" si="8"/>
        <v>4.2000000000000023E-2</v>
      </c>
      <c r="G66" s="78">
        <f t="shared" si="6"/>
        <v>3.5692401492131154E-3</v>
      </c>
      <c r="H66" s="79">
        <f t="shared" si="1"/>
        <v>300154.02142811794</v>
      </c>
      <c r="I66" s="80">
        <f t="shared" si="2"/>
        <v>83794501.670005456</v>
      </c>
      <c r="J66" s="93">
        <f t="shared" si="3"/>
        <v>1.75</v>
      </c>
      <c r="K66" s="250"/>
      <c r="L66" s="253"/>
    </row>
    <row r="67" spans="1:12" x14ac:dyDescent="0.25">
      <c r="A67" s="131">
        <v>22</v>
      </c>
      <c r="B67" s="45">
        <f t="shared" si="7"/>
        <v>83794501.670005456</v>
      </c>
      <c r="C67" s="79">
        <f t="shared" si="4"/>
        <v>1116602.6506154712</v>
      </c>
      <c r="D67" s="45">
        <f t="shared" si="0"/>
        <v>488801.25974169851</v>
      </c>
      <c r="E67" s="45">
        <f t="shared" si="5"/>
        <v>627801.39087377267</v>
      </c>
      <c r="F67" s="77">
        <f t="shared" si="8"/>
        <v>4.4000000000000025E-2</v>
      </c>
      <c r="G67" s="78">
        <f t="shared" si="6"/>
        <v>3.7427588466381057E-3</v>
      </c>
      <c r="H67" s="79">
        <f t="shared" si="1"/>
        <v>311272.90321541991</v>
      </c>
      <c r="I67" s="80">
        <f t="shared" si="2"/>
        <v>82855427.375916258</v>
      </c>
      <c r="J67" s="93">
        <f t="shared" si="3"/>
        <v>1.8333333333333333</v>
      </c>
      <c r="K67" s="250"/>
      <c r="L67" s="253"/>
    </row>
    <row r="68" spans="1:12" x14ac:dyDescent="0.25">
      <c r="A68" s="131">
        <v>23</v>
      </c>
      <c r="B68" s="45">
        <f t="shared" si="7"/>
        <v>82855427.375916258</v>
      </c>
      <c r="C68" s="79">
        <f t="shared" si="4"/>
        <v>1112423.4761667007</v>
      </c>
      <c r="D68" s="45">
        <f t="shared" si="0"/>
        <v>483323.32635951153</v>
      </c>
      <c r="E68" s="45">
        <f t="shared" si="5"/>
        <v>629100.14980718913</v>
      </c>
      <c r="F68" s="77">
        <f t="shared" si="8"/>
        <v>4.6000000000000027E-2</v>
      </c>
      <c r="G68" s="78">
        <f t="shared" si="6"/>
        <v>3.9166106226982134E-3</v>
      </c>
      <c r="H68" s="79">
        <f t="shared" si="1"/>
        <v>322048.50667923811</v>
      </c>
      <c r="I68" s="80">
        <f t="shared" si="2"/>
        <v>81904278.719429836</v>
      </c>
      <c r="J68" s="93">
        <f t="shared" si="3"/>
        <v>1.9166666666666667</v>
      </c>
      <c r="K68" s="250"/>
      <c r="L68" s="253"/>
    </row>
    <row r="69" spans="1:12" ht="13.8" thickBot="1" x14ac:dyDescent="0.3">
      <c r="A69" s="131">
        <v>24</v>
      </c>
      <c r="B69" s="45">
        <f t="shared" si="7"/>
        <v>81904278.719429836</v>
      </c>
      <c r="C69" s="79">
        <f t="shared" si="4"/>
        <v>1108066.5465630074</v>
      </c>
      <c r="D69" s="45">
        <f t="shared" si="0"/>
        <v>477774.95919667406</v>
      </c>
      <c r="E69" s="45">
        <f t="shared" si="5"/>
        <v>630291.58736633335</v>
      </c>
      <c r="F69" s="77">
        <f t="shared" si="8"/>
        <v>4.8000000000000029E-2</v>
      </c>
      <c r="G69" s="78">
        <f t="shared" si="6"/>
        <v>4.0907968170484921E-3</v>
      </c>
      <c r="H69" s="79">
        <f t="shared" si="1"/>
        <v>332475.36786868551</v>
      </c>
      <c r="I69" s="80">
        <f t="shared" si="2"/>
        <v>80941511.764194816</v>
      </c>
      <c r="J69" s="94">
        <f t="shared" si="3"/>
        <v>2</v>
      </c>
      <c r="K69" s="251"/>
      <c r="L69" s="254"/>
    </row>
    <row r="70" spans="1:12" x14ac:dyDescent="0.25">
      <c r="A70" s="131">
        <v>25</v>
      </c>
      <c r="B70" s="45">
        <f t="shared" si="7"/>
        <v>80941511.764194816</v>
      </c>
      <c r="C70" s="79">
        <f t="shared" si="4"/>
        <v>1103533.6714612495</v>
      </c>
      <c r="D70" s="45">
        <f t="shared" si="0"/>
        <v>472158.8186244698</v>
      </c>
      <c r="E70" s="45">
        <f t="shared" si="5"/>
        <v>631374.85283677967</v>
      </c>
      <c r="F70" s="77">
        <f t="shared" si="8"/>
        <v>5.0000000000000031E-2</v>
      </c>
      <c r="G70" s="78">
        <f t="shared" si="6"/>
        <v>4.2653187775606449E-3</v>
      </c>
      <c r="H70" s="79">
        <f t="shared" si="1"/>
        <v>342548.33499648172</v>
      </c>
      <c r="I70" s="80">
        <f t="shared" si="2"/>
        <v>79967588.576361567</v>
      </c>
      <c r="J70" s="92">
        <f t="shared" si="3"/>
        <v>2.0833333333333335</v>
      </c>
      <c r="K70" s="249">
        <f>+SUM(D70:D81)</f>
        <v>5281187.1547591481</v>
      </c>
      <c r="L70" s="252">
        <f>+SUM(E70:E81)+SUM(H70:H81)</f>
        <v>12029070.059782717</v>
      </c>
    </row>
    <row r="71" spans="1:12" x14ac:dyDescent="0.25">
      <c r="A71" s="131">
        <v>26</v>
      </c>
      <c r="B71" s="45">
        <f t="shared" si="7"/>
        <v>79967588.576361567</v>
      </c>
      <c r="C71" s="79">
        <f t="shared" si="4"/>
        <v>1098826.7485706955</v>
      </c>
      <c r="D71" s="45">
        <f t="shared" si="0"/>
        <v>466477.60002877581</v>
      </c>
      <c r="E71" s="45">
        <f t="shared" si="5"/>
        <v>632349.14854191965</v>
      </c>
      <c r="F71" s="77">
        <f t="shared" si="8"/>
        <v>5.2000000000000032E-2</v>
      </c>
      <c r="G71" s="78">
        <f t="shared" si="6"/>
        <v>4.4401778603907482E-3</v>
      </c>
      <c r="H71" s="79">
        <f t="shared" si="1"/>
        <v>352262.57365620398</v>
      </c>
      <c r="I71" s="80">
        <f t="shared" si="2"/>
        <v>78982976.854163453</v>
      </c>
      <c r="J71" s="93">
        <f t="shared" si="3"/>
        <v>2.1666666666666665</v>
      </c>
      <c r="K71" s="250"/>
      <c r="L71" s="253"/>
    </row>
    <row r="72" spans="1:12" x14ac:dyDescent="0.25">
      <c r="A72" s="131">
        <v>27</v>
      </c>
      <c r="B72" s="45">
        <f t="shared" si="7"/>
        <v>78982976.854163453</v>
      </c>
      <c r="C72" s="79">
        <f t="shared" si="4"/>
        <v>1093947.762369287</v>
      </c>
      <c r="D72" s="45">
        <f t="shared" si="0"/>
        <v>460734.03164928686</v>
      </c>
      <c r="E72" s="45">
        <f t="shared" si="5"/>
        <v>633213.73072000011</v>
      </c>
      <c r="F72" s="77">
        <f t="shared" si="8"/>
        <v>5.4000000000000034E-2</v>
      </c>
      <c r="G72" s="78">
        <f t="shared" si="6"/>
        <v>4.6153754300476413E-3</v>
      </c>
      <c r="H72" s="79">
        <f t="shared" si="1"/>
        <v>361613.57166999363</v>
      </c>
      <c r="I72" s="80">
        <f t="shared" si="2"/>
        <v>77988149.551773459</v>
      </c>
      <c r="J72" s="93">
        <f t="shared" si="3"/>
        <v>2.25</v>
      </c>
      <c r="K72" s="250"/>
      <c r="L72" s="253"/>
    </row>
    <row r="73" spans="1:12" x14ac:dyDescent="0.25">
      <c r="A73" s="131">
        <v>28</v>
      </c>
      <c r="B73" s="45">
        <f t="shared" si="7"/>
        <v>77988149.551773459</v>
      </c>
      <c r="C73" s="79">
        <f t="shared" si="4"/>
        <v>1088898.7827450922</v>
      </c>
      <c r="D73" s="45">
        <f t="shared" si="0"/>
        <v>454930.87238534522</v>
      </c>
      <c r="E73" s="45">
        <f t="shared" si="5"/>
        <v>633967.91035974701</v>
      </c>
      <c r="F73" s="77">
        <f t="shared" si="8"/>
        <v>5.6000000000000036E-2</v>
      </c>
      <c r="G73" s="78">
        <f t="shared" si="6"/>
        <v>4.7909128594627592E-3</v>
      </c>
      <c r="H73" s="79">
        <f t="shared" si="1"/>
        <v>370597.14355906704</v>
      </c>
      <c r="I73" s="80">
        <f t="shared" si="2"/>
        <v>76983584.49785465</v>
      </c>
      <c r="J73" s="93">
        <f t="shared" si="3"/>
        <v>2.3333333333333335</v>
      </c>
      <c r="K73" s="250"/>
      <c r="L73" s="253"/>
    </row>
    <row r="74" spans="1:12" x14ac:dyDescent="0.25">
      <c r="A74" s="131">
        <v>29</v>
      </c>
      <c r="B74" s="45">
        <f t="shared" si="7"/>
        <v>76983584.49785465</v>
      </c>
      <c r="C74" s="79">
        <f t="shared" si="4"/>
        <v>1083681.9635641854</v>
      </c>
      <c r="D74" s="45">
        <f t="shared" si="0"/>
        <v>449070.90957081883</v>
      </c>
      <c r="E74" s="45">
        <f t="shared" si="5"/>
        <v>634611.05399336666</v>
      </c>
      <c r="F74" s="77">
        <f t="shared" si="8"/>
        <v>5.8000000000000038E-2</v>
      </c>
      <c r="G74" s="78">
        <f t="shared" si="6"/>
        <v>4.9667915300590781E-3</v>
      </c>
      <c r="H74" s="79">
        <f t="shared" si="1"/>
        <v>379209.4346296757</v>
      </c>
      <c r="I74" s="80">
        <f t="shared" si="2"/>
        <v>75969764.009231597</v>
      </c>
      <c r="J74" s="93">
        <f t="shared" si="3"/>
        <v>2.4166666666666665</v>
      </c>
      <c r="K74" s="250"/>
      <c r="L74" s="253"/>
    </row>
    <row r="75" spans="1:12" x14ac:dyDescent="0.25">
      <c r="A75" s="131">
        <v>30</v>
      </c>
      <c r="B75" s="45">
        <f t="shared" si="7"/>
        <v>75969764.009231597</v>
      </c>
      <c r="C75" s="79">
        <f t="shared" si="4"/>
        <v>1078299.5411662769</v>
      </c>
      <c r="D75" s="45">
        <f t="shared" si="0"/>
        <v>443156.95672051766</v>
      </c>
      <c r="E75" s="45">
        <f t="shared" si="5"/>
        <v>635142.58444575919</v>
      </c>
      <c r="F75" s="77">
        <f t="shared" si="8"/>
        <v>6.0000000000000039E-2</v>
      </c>
      <c r="G75" s="78">
        <f t="shared" si="6"/>
        <v>5.1430128318229462E-3</v>
      </c>
      <c r="H75" s="79">
        <f t="shared" si="1"/>
        <v>387446.9246681974</v>
      </c>
      <c r="I75" s="80">
        <f t="shared" si="2"/>
        <v>74947174.500117645</v>
      </c>
      <c r="J75" s="93">
        <f t="shared" si="3"/>
        <v>2.5</v>
      </c>
      <c r="K75" s="250"/>
      <c r="L75" s="253"/>
    </row>
    <row r="76" spans="1:12" x14ac:dyDescent="0.25">
      <c r="A76" s="131">
        <v>31</v>
      </c>
      <c r="B76" s="45">
        <f t="shared" si="7"/>
        <v>74947174.500117645</v>
      </c>
      <c r="C76" s="79">
        <f t="shared" si="4"/>
        <v>1072753.8327895103</v>
      </c>
      <c r="D76" s="45">
        <f t="shared" si="0"/>
        <v>437191.85125068628</v>
      </c>
      <c r="E76" s="45">
        <f t="shared" si="5"/>
        <v>635561.98153882404</v>
      </c>
      <c r="F76" s="77">
        <f>+F75</f>
        <v>6.0000000000000039E-2</v>
      </c>
      <c r="G76" s="78">
        <f t="shared" si="6"/>
        <v>5.1430128318229462E-3</v>
      </c>
      <c r="H76" s="79">
        <f t="shared" si="1"/>
        <v>382185.57673650561</v>
      </c>
      <c r="I76" s="80">
        <f t="shared" si="2"/>
        <v>73929426.941842318</v>
      </c>
      <c r="J76" s="93">
        <f t="shared" si="3"/>
        <v>2.5833333333333335</v>
      </c>
      <c r="K76" s="250"/>
      <c r="L76" s="253"/>
    </row>
    <row r="77" spans="1:12" x14ac:dyDescent="0.25">
      <c r="A77" s="131">
        <v>32</v>
      </c>
      <c r="B77" s="45">
        <f t="shared" si="7"/>
        <v>73929426.941842318</v>
      </c>
      <c r="C77" s="79">
        <f t="shared" si="4"/>
        <v>1067236.6460620863</v>
      </c>
      <c r="D77" s="45">
        <f t="shared" si="0"/>
        <v>431254.99049408018</v>
      </c>
      <c r="E77" s="45">
        <f t="shared" si="5"/>
        <v>635981.65556800622</v>
      </c>
      <c r="F77" s="77">
        <f t="shared" ref="F77:F105" si="9">+F76</f>
        <v>6.0000000000000039E-2</v>
      </c>
      <c r="G77" s="78">
        <f t="shared" si="6"/>
        <v>5.1430128318229462E-3</v>
      </c>
      <c r="H77" s="79">
        <f t="shared" si="1"/>
        <v>376949.12959582184</v>
      </c>
      <c r="I77" s="80">
        <f t="shared" si="2"/>
        <v>72916496.156678498</v>
      </c>
      <c r="J77" s="93">
        <f t="shared" si="3"/>
        <v>2.6666666666666665</v>
      </c>
      <c r="K77" s="250"/>
      <c r="L77" s="253"/>
    </row>
    <row r="78" spans="1:12" x14ac:dyDescent="0.25">
      <c r="A78" s="131">
        <v>33</v>
      </c>
      <c r="B78" s="45">
        <f t="shared" si="7"/>
        <v>72916496.156678498</v>
      </c>
      <c r="C78" s="79">
        <f t="shared" si="4"/>
        <v>1061747.8342967972</v>
      </c>
      <c r="D78" s="45">
        <f t="shared" ref="D78:D109" si="10">+B78*$C$39</f>
        <v>425346.22758062457</v>
      </c>
      <c r="E78" s="45">
        <f t="shared" si="5"/>
        <v>636401.60671617254</v>
      </c>
      <c r="F78" s="77">
        <f t="shared" si="9"/>
        <v>6.0000000000000039E-2</v>
      </c>
      <c r="G78" s="78">
        <f t="shared" si="6"/>
        <v>5.1430128318229462E-3</v>
      </c>
      <c r="H78" s="79">
        <f t="shared" ref="H78:H109" si="11">+(B78-E78)*G78</f>
        <v>371737.45375583204</v>
      </c>
      <c r="I78" s="80">
        <f t="shared" ref="I78:I109" si="12">+B78-H78-E78</f>
        <v>71908357.096206501</v>
      </c>
      <c r="J78" s="93">
        <f t="shared" ref="J78:J109" si="13">+A78/12</f>
        <v>2.75</v>
      </c>
      <c r="K78" s="250"/>
      <c r="L78" s="253"/>
    </row>
    <row r="79" spans="1:12" x14ac:dyDescent="0.25">
      <c r="A79" s="131">
        <v>34</v>
      </c>
      <c r="B79" s="45">
        <f t="shared" si="7"/>
        <v>71908357.096206501</v>
      </c>
      <c r="C79" s="79">
        <f t="shared" ref="C79:C110" si="14">+-PMT($C$39,120-A78,+B79)</f>
        <v>1056287.2515608487</v>
      </c>
      <c r="D79" s="45">
        <f t="shared" si="10"/>
        <v>419465.41639453796</v>
      </c>
      <c r="E79" s="45">
        <f t="shared" si="5"/>
        <v>636821.83516631066</v>
      </c>
      <c r="F79" s="77">
        <f t="shared" si="9"/>
        <v>6.0000000000000039E-2</v>
      </c>
      <c r="G79" s="78">
        <f t="shared" si="6"/>
        <v>5.1430128318229462E-3</v>
      </c>
      <c r="H79" s="79">
        <f t="shared" si="11"/>
        <v>366550.42039125127</v>
      </c>
      <c r="I79" s="80">
        <f t="shared" si="12"/>
        <v>70904984.840648949</v>
      </c>
      <c r="J79" s="93">
        <f t="shared" si="13"/>
        <v>2.8333333333333335</v>
      </c>
      <c r="K79" s="250"/>
      <c r="L79" s="253"/>
    </row>
    <row r="80" spans="1:12" x14ac:dyDescent="0.25">
      <c r="A80" s="131">
        <v>35</v>
      </c>
      <c r="B80" s="45">
        <f t="shared" si="7"/>
        <v>70904984.840648949</v>
      </c>
      <c r="C80" s="79">
        <f t="shared" si="14"/>
        <v>1050854.7526719808</v>
      </c>
      <c r="D80" s="45">
        <f t="shared" si="10"/>
        <v>413612.41157045221</v>
      </c>
      <c r="E80" s="45">
        <f t="shared" si="5"/>
        <v>637242.34110152861</v>
      </c>
      <c r="F80" s="77">
        <f t="shared" si="9"/>
        <v>6.0000000000000039E-2</v>
      </c>
      <c r="G80" s="78">
        <f t="shared" si="6"/>
        <v>5.1430128318229462E-3</v>
      </c>
      <c r="H80" s="79">
        <f t="shared" si="11"/>
        <v>361387.901338403</v>
      </c>
      <c r="I80" s="80">
        <f t="shared" si="12"/>
        <v>69906354.598209023</v>
      </c>
      <c r="J80" s="93">
        <f t="shared" si="13"/>
        <v>2.9166666666666665</v>
      </c>
      <c r="K80" s="250"/>
      <c r="L80" s="253"/>
    </row>
    <row r="81" spans="1:12" ht="13.8" thickBot="1" x14ac:dyDescent="0.3">
      <c r="A81" s="131">
        <v>36</v>
      </c>
      <c r="B81" s="45">
        <f t="shared" si="7"/>
        <v>69906354.598209023</v>
      </c>
      <c r="C81" s="79">
        <f t="shared" si="14"/>
        <v>1045450.1931946065</v>
      </c>
      <c r="D81" s="45">
        <f t="shared" si="10"/>
        <v>407787.06848955265</v>
      </c>
      <c r="E81" s="45">
        <f t="shared" si="5"/>
        <v>637663.12470505387</v>
      </c>
      <c r="F81" s="77">
        <f t="shared" si="9"/>
        <v>6.0000000000000039E-2</v>
      </c>
      <c r="G81" s="78">
        <f t="shared" si="6"/>
        <v>5.1430128318229462E-3</v>
      </c>
      <c r="H81" s="79">
        <f t="shared" si="11"/>
        <v>356249.76909181563</v>
      </c>
      <c r="I81" s="80">
        <f t="shared" si="12"/>
        <v>68912441.704412162</v>
      </c>
      <c r="J81" s="94">
        <f t="shared" si="13"/>
        <v>3</v>
      </c>
      <c r="K81" s="251"/>
      <c r="L81" s="254"/>
    </row>
    <row r="82" spans="1:12" x14ac:dyDescent="0.25">
      <c r="A82" s="131">
        <v>37</v>
      </c>
      <c r="B82" s="45">
        <f t="shared" si="7"/>
        <v>68912441.704412162</v>
      </c>
      <c r="C82" s="79">
        <f t="shared" si="14"/>
        <v>1040073.4294359749</v>
      </c>
      <c r="D82" s="45">
        <f t="shared" si="10"/>
        <v>401989.24327573762</v>
      </c>
      <c r="E82" s="45">
        <f t="shared" si="5"/>
        <v>638084.1861602373</v>
      </c>
      <c r="F82" s="77">
        <f t="shared" si="9"/>
        <v>6.0000000000000039E-2</v>
      </c>
      <c r="G82" s="78">
        <f t="shared" si="6"/>
        <v>5.1430128318229462E-3</v>
      </c>
      <c r="H82" s="79">
        <f t="shared" si="11"/>
        <v>351135.89680083707</v>
      </c>
      <c r="I82" s="80">
        <f t="shared" si="12"/>
        <v>67923221.621451095</v>
      </c>
      <c r="J82" s="92">
        <f t="shared" si="13"/>
        <v>3.0833333333333335</v>
      </c>
      <c r="K82" s="249">
        <f>+SUM(D82:D93)</f>
        <v>4448942.7452019015</v>
      </c>
      <c r="L82" s="252">
        <f>+SUM(E82:E93)+SUM(H82:H93)</f>
        <v>11567808.439288566</v>
      </c>
    </row>
    <row r="83" spans="1:12" x14ac:dyDescent="0.25">
      <c r="A83" s="131">
        <v>38</v>
      </c>
      <c r="B83" s="45">
        <f t="shared" si="7"/>
        <v>67923221.621451095</v>
      </c>
      <c r="C83" s="79">
        <f t="shared" si="14"/>
        <v>1034724.3184423477</v>
      </c>
      <c r="D83" s="45">
        <f t="shared" si="10"/>
        <v>396218.79279179807</v>
      </c>
      <c r="E83" s="45">
        <f t="shared" si="5"/>
        <v>638505.52565054968</v>
      </c>
      <c r="F83" s="77">
        <f t="shared" si="9"/>
        <v>6.0000000000000039E-2</v>
      </c>
      <c r="G83" s="78">
        <f t="shared" si="6"/>
        <v>5.1430128318229462E-3</v>
      </c>
      <c r="H83" s="79">
        <f t="shared" si="11"/>
        <v>346046.15826626617</v>
      </c>
      <c r="I83" s="80">
        <f t="shared" si="12"/>
        <v>66938669.937534288</v>
      </c>
      <c r="J83" s="93">
        <f t="shared" si="13"/>
        <v>3.1666666666666665</v>
      </c>
      <c r="K83" s="250"/>
      <c r="L83" s="253"/>
    </row>
    <row r="84" spans="1:12" x14ac:dyDescent="0.25">
      <c r="A84" s="131">
        <v>39</v>
      </c>
      <c r="B84" s="45">
        <f t="shared" si="7"/>
        <v>66938669.937534288</v>
      </c>
      <c r="C84" s="79">
        <f t="shared" si="14"/>
        <v>1029402.7179951996</v>
      </c>
      <c r="D84" s="45">
        <f t="shared" si="10"/>
        <v>390475.57463561668</v>
      </c>
      <c r="E84" s="45">
        <f t="shared" si="5"/>
        <v>638927.14335958287</v>
      </c>
      <c r="F84" s="77">
        <f t="shared" si="9"/>
        <v>6.0000000000000039E-2</v>
      </c>
      <c r="G84" s="78">
        <f t="shared" si="6"/>
        <v>5.1430128318229462E-3</v>
      </c>
      <c r="H84" s="79">
        <f t="shared" si="11"/>
        <v>340980.4279370014</v>
      </c>
      <c r="I84" s="80">
        <f t="shared" si="12"/>
        <v>65958762.3662377</v>
      </c>
      <c r="J84" s="93">
        <f t="shared" si="13"/>
        <v>3.25</v>
      </c>
      <c r="K84" s="250"/>
      <c r="L84" s="253"/>
    </row>
    <row r="85" spans="1:12" x14ac:dyDescent="0.25">
      <c r="A85" s="131">
        <v>40</v>
      </c>
      <c r="B85" s="45">
        <f t="shared" si="7"/>
        <v>65958762.3662377</v>
      </c>
      <c r="C85" s="79">
        <f t="shared" si="14"/>
        <v>1024108.4866074369</v>
      </c>
      <c r="D85" s="45">
        <f t="shared" si="10"/>
        <v>384759.44713638659</v>
      </c>
      <c r="E85" s="45">
        <f t="shared" si="5"/>
        <v>639349.03947105026</v>
      </c>
      <c r="F85" s="77">
        <f t="shared" si="9"/>
        <v>6.0000000000000039E-2</v>
      </c>
      <c r="G85" s="78">
        <f t="shared" si="6"/>
        <v>5.1430128318229462E-3</v>
      </c>
      <c r="H85" s="79">
        <f t="shared" si="11"/>
        <v>335938.58090670762</v>
      </c>
      <c r="I85" s="80">
        <f t="shared" si="12"/>
        <v>64983474.745859943</v>
      </c>
      <c r="J85" s="93">
        <f t="shared" si="13"/>
        <v>3.3333333333333335</v>
      </c>
      <c r="K85" s="250"/>
      <c r="L85" s="253"/>
    </row>
    <row r="86" spans="1:12" x14ac:dyDescent="0.25">
      <c r="A86" s="131">
        <v>41</v>
      </c>
      <c r="B86" s="45">
        <f t="shared" si="7"/>
        <v>64983474.745859943</v>
      </c>
      <c r="C86" s="79">
        <f t="shared" si="14"/>
        <v>1018841.4835196362</v>
      </c>
      <c r="D86" s="45">
        <f t="shared" si="10"/>
        <v>379070.26935084967</v>
      </c>
      <c r="E86" s="45">
        <f t="shared" si="5"/>
        <v>639771.21416878654</v>
      </c>
      <c r="F86" s="77">
        <f t="shared" si="9"/>
        <v>6.0000000000000039E-2</v>
      </c>
      <c r="G86" s="78">
        <f t="shared" si="6"/>
        <v>5.1430128318229462E-3</v>
      </c>
      <c r="H86" s="79">
        <f t="shared" si="11"/>
        <v>330920.49291049904</v>
      </c>
      <c r="I86" s="80">
        <f t="shared" si="12"/>
        <v>64012783.038780659</v>
      </c>
      <c r="J86" s="93">
        <f t="shared" si="13"/>
        <v>3.4166666666666665</v>
      </c>
      <c r="K86" s="250"/>
      <c r="L86" s="253"/>
    </row>
    <row r="87" spans="1:12" x14ac:dyDescent="0.25">
      <c r="A87" s="131">
        <v>42</v>
      </c>
      <c r="B87" s="45">
        <f t="shared" si="7"/>
        <v>64012783.038780659</v>
      </c>
      <c r="C87" s="79">
        <f t="shared" si="14"/>
        <v>1013601.5686963012</v>
      </c>
      <c r="D87" s="45">
        <f t="shared" si="10"/>
        <v>373407.90105955384</v>
      </c>
      <c r="E87" s="45">
        <f t="shared" si="5"/>
        <v>640193.66763674736</v>
      </c>
      <c r="F87" s="77">
        <f t="shared" si="9"/>
        <v>6.0000000000000039E-2</v>
      </c>
      <c r="G87" s="78">
        <f t="shared" si="6"/>
        <v>5.1430128318229462E-3</v>
      </c>
      <c r="H87" s="79">
        <f t="shared" si="11"/>
        <v>325926.04032163962</v>
      </c>
      <c r="I87" s="80">
        <f t="shared" si="12"/>
        <v>63046663.330822274</v>
      </c>
      <c r="J87" s="93">
        <f t="shared" si="13"/>
        <v>3.5</v>
      </c>
      <c r="K87" s="250"/>
      <c r="L87" s="253"/>
    </row>
    <row r="88" spans="1:12" x14ac:dyDescent="0.25">
      <c r="A88" s="131">
        <v>43</v>
      </c>
      <c r="B88" s="45">
        <f t="shared" si="7"/>
        <v>63046663.330822274</v>
      </c>
      <c r="C88" s="79">
        <f t="shared" si="14"/>
        <v>1008388.6028221402</v>
      </c>
      <c r="D88" s="45">
        <f t="shared" si="10"/>
        <v>367772.20276312996</v>
      </c>
      <c r="E88" s="45">
        <f t="shared" si="5"/>
        <v>640616.40005901025</v>
      </c>
      <c r="F88" s="77">
        <f t="shared" si="9"/>
        <v>6.0000000000000039E-2</v>
      </c>
      <c r="G88" s="78">
        <f t="shared" si="6"/>
        <v>5.1430128318229462E-3</v>
      </c>
      <c r="H88" s="79">
        <f t="shared" si="11"/>
        <v>320955.10014826048</v>
      </c>
      <c r="I88" s="80">
        <f t="shared" si="12"/>
        <v>62085091.830615006</v>
      </c>
      <c r="J88" s="93">
        <f t="shared" si="13"/>
        <v>3.5833333333333335</v>
      </c>
      <c r="K88" s="250"/>
      <c r="L88" s="253"/>
    </row>
    <row r="89" spans="1:12" x14ac:dyDescent="0.25">
      <c r="A89" s="131">
        <v>44</v>
      </c>
      <c r="B89" s="45">
        <f t="shared" si="7"/>
        <v>62085091.830615006</v>
      </c>
      <c r="C89" s="79">
        <f t="shared" si="14"/>
        <v>1003202.447298362</v>
      </c>
      <c r="D89" s="45">
        <f t="shared" si="10"/>
        <v>362163.03567858756</v>
      </c>
      <c r="E89" s="45">
        <f t="shared" si="5"/>
        <v>641039.41161977453</v>
      </c>
      <c r="F89" s="77">
        <f t="shared" si="9"/>
        <v>6.0000000000000039E-2</v>
      </c>
      <c r="G89" s="78">
        <f t="shared" si="6"/>
        <v>5.1430128318229462E-3</v>
      </c>
      <c r="H89" s="79">
        <f t="shared" si="11"/>
        <v>316007.55003009422</v>
      </c>
      <c r="I89" s="80">
        <f t="shared" si="12"/>
        <v>61128044.868965134</v>
      </c>
      <c r="J89" s="93">
        <f t="shared" si="13"/>
        <v>3.6666666666666665</v>
      </c>
      <c r="K89" s="250"/>
      <c r="L89" s="253"/>
    </row>
    <row r="90" spans="1:12" x14ac:dyDescent="0.25">
      <c r="A90" s="131">
        <v>45</v>
      </c>
      <c r="B90" s="45">
        <f t="shared" si="7"/>
        <v>61128044.868965134</v>
      </c>
      <c r="C90" s="79">
        <f t="shared" si="14"/>
        <v>998042.96423899033</v>
      </c>
      <c r="D90" s="45">
        <f t="shared" si="10"/>
        <v>356580.26173562999</v>
      </c>
      <c r="E90" s="45">
        <f t="shared" si="5"/>
        <v>641462.70250336034</v>
      </c>
      <c r="F90" s="77">
        <f t="shared" si="9"/>
        <v>6.0000000000000039E-2</v>
      </c>
      <c r="G90" s="78">
        <f t="shared" si="6"/>
        <v>5.1430128318229462E-3</v>
      </c>
      <c r="H90" s="79">
        <f t="shared" si="11"/>
        <v>311083.26823522587</v>
      </c>
      <c r="I90" s="80">
        <f t="shared" si="12"/>
        <v>60175498.898226544</v>
      </c>
      <c r="J90" s="93">
        <f t="shared" si="13"/>
        <v>3.75</v>
      </c>
      <c r="K90" s="250"/>
      <c r="L90" s="253"/>
    </row>
    <row r="91" spans="1:12" x14ac:dyDescent="0.25">
      <c r="A91" s="131">
        <v>46</v>
      </c>
      <c r="B91" s="45">
        <f t="shared" si="7"/>
        <v>60175498.898226544</v>
      </c>
      <c r="C91" s="79">
        <f t="shared" si="14"/>
        <v>992910.0164671985</v>
      </c>
      <c r="D91" s="45">
        <f t="shared" si="10"/>
        <v>351023.7435729882</v>
      </c>
      <c r="E91" s="45">
        <f t="shared" si="5"/>
        <v>641886.2728942103</v>
      </c>
      <c r="F91" s="77">
        <f t="shared" si="9"/>
        <v>6.0000000000000039E-2</v>
      </c>
      <c r="G91" s="78">
        <f t="shared" si="6"/>
        <v>5.1430128318229462E-3</v>
      </c>
      <c r="H91" s="79">
        <f t="shared" si="11"/>
        <v>306182.13365686074</v>
      </c>
      <c r="I91" s="80">
        <f t="shared" si="12"/>
        <v>59227430.491675474</v>
      </c>
      <c r="J91" s="93">
        <f t="shared" si="13"/>
        <v>3.8333333333333335</v>
      </c>
      <c r="K91" s="250"/>
      <c r="L91" s="253"/>
    </row>
    <row r="92" spans="1:12" x14ac:dyDescent="0.25">
      <c r="A92" s="131">
        <v>47</v>
      </c>
      <c r="B92" s="45">
        <f t="shared" si="7"/>
        <v>59227430.491675474</v>
      </c>
      <c r="C92" s="79">
        <f t="shared" si="14"/>
        <v>987803.46751166217</v>
      </c>
      <c r="D92" s="45">
        <f t="shared" si="10"/>
        <v>345493.34453477361</v>
      </c>
      <c r="E92" s="45">
        <f t="shared" si="5"/>
        <v>642310.12297688855</v>
      </c>
      <c r="F92" s="77">
        <f t="shared" si="9"/>
        <v>6.0000000000000039E-2</v>
      </c>
      <c r="G92" s="78">
        <f t="shared" si="6"/>
        <v>5.1430128318229462E-3</v>
      </c>
      <c r="H92" s="79">
        <f t="shared" si="11"/>
        <v>301304.02581010864</v>
      </c>
      <c r="I92" s="80">
        <f t="shared" si="12"/>
        <v>58283816.342888474</v>
      </c>
      <c r="J92" s="93">
        <f t="shared" si="13"/>
        <v>3.9166666666666665</v>
      </c>
      <c r="K92" s="250"/>
      <c r="L92" s="253"/>
    </row>
    <row r="93" spans="1:12" ht="13.8" thickBot="1" x14ac:dyDescent="0.3">
      <c r="A93" s="131">
        <v>48</v>
      </c>
      <c r="B93" s="45">
        <f t="shared" si="7"/>
        <v>58283816.342888474</v>
      </c>
      <c r="C93" s="79">
        <f t="shared" si="14"/>
        <v>982723.18160293042</v>
      </c>
      <c r="D93" s="45">
        <f t="shared" si="10"/>
        <v>339988.92866684945</v>
      </c>
      <c r="E93" s="45">
        <f t="shared" si="5"/>
        <v>642734.25293608103</v>
      </c>
      <c r="F93" s="77">
        <f t="shared" si="9"/>
        <v>6.0000000000000039E-2</v>
      </c>
      <c r="G93" s="78">
        <f t="shared" si="6"/>
        <v>5.1430128318229462E-3</v>
      </c>
      <c r="H93" s="79">
        <f t="shared" si="11"/>
        <v>296448.82482878497</v>
      </c>
      <c r="I93" s="80">
        <f t="shared" si="12"/>
        <v>57344633.265123606</v>
      </c>
      <c r="J93" s="94">
        <f t="shared" si="13"/>
        <v>4</v>
      </c>
      <c r="K93" s="251"/>
      <c r="L93" s="254"/>
    </row>
    <row r="94" spans="1:12" x14ac:dyDescent="0.25">
      <c r="A94" s="131">
        <v>49</v>
      </c>
      <c r="B94" s="45">
        <f t="shared" si="7"/>
        <v>57344633.265123606</v>
      </c>
      <c r="C94" s="79">
        <f t="shared" si="14"/>
        <v>977669.02366981667</v>
      </c>
      <c r="D94" s="45">
        <f t="shared" si="10"/>
        <v>334510.36071322107</v>
      </c>
      <c r="E94" s="45">
        <f t="shared" si="5"/>
        <v>643158.66295659565</v>
      </c>
      <c r="F94" s="77">
        <f t="shared" si="9"/>
        <v>6.0000000000000039E-2</v>
      </c>
      <c r="G94" s="78">
        <f t="shared" si="6"/>
        <v>5.1430128318229462E-3</v>
      </c>
      <c r="H94" s="79">
        <f t="shared" si="11"/>
        <v>291616.41146222781</v>
      </c>
      <c r="I94" s="80">
        <f t="shared" si="12"/>
        <v>56409858.190704785</v>
      </c>
      <c r="J94" s="92">
        <f t="shared" si="13"/>
        <v>4.083333333333333</v>
      </c>
      <c r="K94" s="249">
        <f>+SUM(D94:D105)</f>
        <v>3659798.0238290131</v>
      </c>
      <c r="L94" s="252">
        <f>+SUM(E94:E105)+SUM(H94:H105)</f>
        <v>10932852.666240469</v>
      </c>
    </row>
    <row r="95" spans="1:12" x14ac:dyDescent="0.25">
      <c r="A95" s="131">
        <v>50</v>
      </c>
      <c r="B95" s="45">
        <f t="shared" si="7"/>
        <v>56409858.190704785</v>
      </c>
      <c r="C95" s="79">
        <f t="shared" si="14"/>
        <v>972640.85933580704</v>
      </c>
      <c r="D95" s="45">
        <f t="shared" si="10"/>
        <v>329057.50611244462</v>
      </c>
      <c r="E95" s="45">
        <f t="shared" si="5"/>
        <v>643583.35322336247</v>
      </c>
      <c r="F95" s="77">
        <f t="shared" si="9"/>
        <v>6.0000000000000039E-2</v>
      </c>
      <c r="G95" s="78">
        <f t="shared" si="6"/>
        <v>5.1430128318229462E-3</v>
      </c>
      <c r="H95" s="79">
        <f t="shared" si="11"/>
        <v>286806.66707213206</v>
      </c>
      <c r="I95" s="80">
        <f t="shared" si="12"/>
        <v>55479468.170409292</v>
      </c>
      <c r="J95" s="93">
        <f t="shared" si="13"/>
        <v>4.166666666666667</v>
      </c>
      <c r="K95" s="250"/>
      <c r="L95" s="253"/>
    </row>
    <row r="96" spans="1:12" x14ac:dyDescent="0.25">
      <c r="A96" s="131">
        <v>51</v>
      </c>
      <c r="B96" s="45">
        <f t="shared" si="7"/>
        <v>55479468.170409292</v>
      </c>
      <c r="C96" s="79">
        <f t="shared" si="14"/>
        <v>967638.55491548765</v>
      </c>
      <c r="D96" s="45">
        <f t="shared" si="10"/>
        <v>323630.23099405423</v>
      </c>
      <c r="E96" s="45">
        <f t="shared" si="5"/>
        <v>644008.32392143342</v>
      </c>
      <c r="F96" s="77">
        <f t="shared" si="9"/>
        <v>6.0000000000000039E-2</v>
      </c>
      <c r="G96" s="78">
        <f t="shared" si="6"/>
        <v>5.1430128318229462E-3</v>
      </c>
      <c r="H96" s="79">
        <f t="shared" si="11"/>
        <v>282019.47362939897</v>
      </c>
      <c r="I96" s="80">
        <f t="shared" si="12"/>
        <v>54553440.372858457</v>
      </c>
      <c r="J96" s="93">
        <f t="shared" si="13"/>
        <v>4.25</v>
      </c>
      <c r="K96" s="250"/>
      <c r="L96" s="253"/>
    </row>
    <row r="97" spans="1:16" x14ac:dyDescent="0.25">
      <c r="A97" s="131">
        <v>52</v>
      </c>
      <c r="B97" s="45">
        <f t="shared" si="7"/>
        <v>54553440.372858457</v>
      </c>
      <c r="C97" s="79">
        <f t="shared" si="14"/>
        <v>962661.97741099063</v>
      </c>
      <c r="D97" s="45">
        <f t="shared" si="10"/>
        <v>318228.40217500768</v>
      </c>
      <c r="E97" s="45">
        <f t="shared" si="5"/>
        <v>644433.57523598289</v>
      </c>
      <c r="F97" s="77">
        <f t="shared" si="9"/>
        <v>6.0000000000000039E-2</v>
      </c>
      <c r="G97" s="78">
        <f t="shared" si="6"/>
        <v>5.1430128318229462E-3</v>
      </c>
      <c r="H97" s="79">
        <f t="shared" si="11"/>
        <v>277254.71371100278</v>
      </c>
      <c r="I97" s="80">
        <f t="shared" si="12"/>
        <v>53631752.083911471</v>
      </c>
      <c r="J97" s="93">
        <f t="shared" si="13"/>
        <v>4.333333333333333</v>
      </c>
      <c r="K97" s="250"/>
      <c r="L97" s="253"/>
    </row>
    <row r="98" spans="1:16" x14ac:dyDescent="0.25">
      <c r="A98" s="131">
        <v>53</v>
      </c>
      <c r="B98" s="45">
        <f t="shared" si="7"/>
        <v>53631752.083911471</v>
      </c>
      <c r="C98" s="79">
        <f t="shared" si="14"/>
        <v>957710.99450845795</v>
      </c>
      <c r="D98" s="45">
        <f t="shared" si="10"/>
        <v>312851.88715615025</v>
      </c>
      <c r="E98" s="45">
        <f t="shared" si="5"/>
        <v>644859.10735230776</v>
      </c>
      <c r="F98" s="77">
        <f t="shared" si="9"/>
        <v>6.0000000000000039E-2</v>
      </c>
      <c r="G98" s="78">
        <f t="shared" si="6"/>
        <v>5.1430128318229462E-3</v>
      </c>
      <c r="H98" s="79">
        <f t="shared" si="11"/>
        <v>272512.27049687289</v>
      </c>
      <c r="I98" s="80">
        <f t="shared" si="12"/>
        <v>52714380.706062287</v>
      </c>
      <c r="J98" s="93">
        <f t="shared" si="13"/>
        <v>4.416666666666667</v>
      </c>
      <c r="K98" s="250"/>
      <c r="L98" s="253"/>
    </row>
    <row r="99" spans="1:16" x14ac:dyDescent="0.25">
      <c r="A99" s="131">
        <v>54</v>
      </c>
      <c r="B99" s="45">
        <f t="shared" si="7"/>
        <v>52714380.706062287</v>
      </c>
      <c r="C99" s="79">
        <f t="shared" si="14"/>
        <v>952785.47457452305</v>
      </c>
      <c r="D99" s="45">
        <f t="shared" si="10"/>
        <v>307500.55411869672</v>
      </c>
      <c r="E99" s="45">
        <f t="shared" si="5"/>
        <v>645284.92045582633</v>
      </c>
      <c r="F99" s="77">
        <f t="shared" si="9"/>
        <v>6.0000000000000039E-2</v>
      </c>
      <c r="G99" s="78">
        <f t="shared" si="6"/>
        <v>5.1430128318229462E-3</v>
      </c>
      <c r="H99" s="79">
        <f t="shared" si="11"/>
        <v>267792.0277667921</v>
      </c>
      <c r="I99" s="80">
        <f t="shared" si="12"/>
        <v>51801303.757839665</v>
      </c>
      <c r="J99" s="93">
        <f t="shared" si="13"/>
        <v>4.5</v>
      </c>
      <c r="K99" s="250"/>
      <c r="L99" s="253"/>
    </row>
    <row r="100" spans="1:16" x14ac:dyDescent="0.25">
      <c r="A100" s="131">
        <v>55</v>
      </c>
      <c r="B100" s="45">
        <f t="shared" si="7"/>
        <v>51801303.757839665</v>
      </c>
      <c r="C100" s="79">
        <f t="shared" si="14"/>
        <v>947885.28665281157</v>
      </c>
      <c r="D100" s="45">
        <f t="shared" si="10"/>
        <v>302174.27192073141</v>
      </c>
      <c r="E100" s="45">
        <f t="shared" si="5"/>
        <v>645711.01473208016</v>
      </c>
      <c r="F100" s="77">
        <f t="shared" si="9"/>
        <v>6.0000000000000039E-2</v>
      </c>
      <c r="G100" s="78">
        <f t="shared" si="6"/>
        <v>5.1430128318229462E-3</v>
      </c>
      <c r="H100" s="79">
        <f t="shared" si="11"/>
        <v>263093.86989731109</v>
      </c>
      <c r="I100" s="80">
        <f t="shared" si="12"/>
        <v>50892498.873210274</v>
      </c>
      <c r="J100" s="93">
        <f t="shared" si="13"/>
        <v>4.583333333333333</v>
      </c>
      <c r="K100" s="250"/>
      <c r="L100" s="253"/>
    </row>
    <row r="101" spans="1:16" x14ac:dyDescent="0.25">
      <c r="A101" s="131">
        <v>56</v>
      </c>
      <c r="B101" s="45">
        <f t="shared" si="7"/>
        <v>50892498.873210274</v>
      </c>
      <c r="C101" s="79">
        <f t="shared" si="14"/>
        <v>943010.30046046013</v>
      </c>
      <c r="D101" s="45">
        <f t="shared" si="10"/>
        <v>296872.91009372659</v>
      </c>
      <c r="E101" s="45">
        <f t="shared" si="5"/>
        <v>646137.39036673354</v>
      </c>
      <c r="F101" s="77">
        <f t="shared" si="9"/>
        <v>6.0000000000000039E-2</v>
      </c>
      <c r="G101" s="78">
        <f t="shared" si="6"/>
        <v>5.1430128318229462E-3</v>
      </c>
      <c r="H101" s="79">
        <f t="shared" si="11"/>
        <v>258417.68185867858</v>
      </c>
      <c r="I101" s="80">
        <f t="shared" si="12"/>
        <v>49987943.800984859</v>
      </c>
      <c r="J101" s="93">
        <f t="shared" si="13"/>
        <v>4.666666666666667</v>
      </c>
      <c r="K101" s="250"/>
      <c r="L101" s="253"/>
    </row>
    <row r="102" spans="1:16" x14ac:dyDescent="0.25">
      <c r="A102" s="131">
        <v>57</v>
      </c>
      <c r="B102" s="45">
        <f t="shared" si="7"/>
        <v>49987943.800984859</v>
      </c>
      <c r="C102" s="79">
        <f t="shared" si="14"/>
        <v>938160.3863846506</v>
      </c>
      <c r="D102" s="45">
        <f t="shared" si="10"/>
        <v>291596.33883907838</v>
      </c>
      <c r="E102" s="45">
        <f t="shared" si="5"/>
        <v>646564.04754557228</v>
      </c>
      <c r="F102" s="77">
        <f t="shared" si="9"/>
        <v>6.0000000000000039E-2</v>
      </c>
      <c r="G102" s="78">
        <f t="shared" si="6"/>
        <v>5.1430128318229462E-3</v>
      </c>
      <c r="H102" s="79">
        <f t="shared" si="11"/>
        <v>253763.34921178716</v>
      </c>
      <c r="I102" s="80">
        <f t="shared" si="12"/>
        <v>49087616.404227495</v>
      </c>
      <c r="J102" s="93">
        <f t="shared" si="13"/>
        <v>4.75</v>
      </c>
      <c r="K102" s="250"/>
      <c r="L102" s="253"/>
    </row>
    <row r="103" spans="1:16" x14ac:dyDescent="0.25">
      <c r="A103" s="131">
        <v>58</v>
      </c>
      <c r="B103" s="45">
        <f t="shared" si="7"/>
        <v>49087616.404227495</v>
      </c>
      <c r="C103" s="79">
        <f t="shared" si="14"/>
        <v>933335.41547916608</v>
      </c>
      <c r="D103" s="45">
        <f t="shared" si="10"/>
        <v>286344.42902466038</v>
      </c>
      <c r="E103" s="45">
        <f t="shared" si="5"/>
        <v>646990.98645450571</v>
      </c>
      <c r="F103" s="77">
        <f t="shared" si="9"/>
        <v>6.0000000000000039E-2</v>
      </c>
      <c r="G103" s="78">
        <f t="shared" si="6"/>
        <v>5.1430128318229462E-3</v>
      </c>
      <c r="H103" s="79">
        <f t="shared" si="11"/>
        <v>249130.75810513523</v>
      </c>
      <c r="I103" s="80">
        <f t="shared" si="12"/>
        <v>48191494.65966785</v>
      </c>
      <c r="J103" s="93">
        <f t="shared" si="13"/>
        <v>4.833333333333333</v>
      </c>
      <c r="K103" s="250"/>
      <c r="L103" s="253"/>
    </row>
    <row r="104" spans="1:16" x14ac:dyDescent="0.25">
      <c r="A104" s="131">
        <v>59</v>
      </c>
      <c r="B104" s="45">
        <f t="shared" si="7"/>
        <v>48191494.65966785</v>
      </c>
      <c r="C104" s="79">
        <f t="shared" si="14"/>
        <v>928535.25946096203</v>
      </c>
      <c r="D104" s="45">
        <f t="shared" si="10"/>
        <v>281117.05218139582</v>
      </c>
      <c r="E104" s="45">
        <f t="shared" si="5"/>
        <v>647418.20727956621</v>
      </c>
      <c r="F104" s="77">
        <f t="shared" si="9"/>
        <v>6.0000000000000039E-2</v>
      </c>
      <c r="G104" s="78">
        <f t="shared" si="6"/>
        <v>5.1430128318229462E-3</v>
      </c>
      <c r="H104" s="79">
        <f t="shared" si="11"/>
        <v>244519.79527180415</v>
      </c>
      <c r="I104" s="80">
        <f t="shared" si="12"/>
        <v>47299556.65711648</v>
      </c>
      <c r="J104" s="93">
        <f t="shared" si="13"/>
        <v>4.916666666666667</v>
      </c>
      <c r="K104" s="250"/>
      <c r="L104" s="253"/>
    </row>
    <row r="105" spans="1:16" s="130" customFormat="1" ht="13.8" thickBot="1" x14ac:dyDescent="0.3">
      <c r="A105" s="132">
        <v>60</v>
      </c>
      <c r="B105" s="101">
        <f t="shared" si="7"/>
        <v>47299556.65711648</v>
      </c>
      <c r="C105" s="79">
        <f t="shared" si="14"/>
        <v>923759.7907067542</v>
      </c>
      <c r="D105" s="45">
        <f t="shared" si="10"/>
        <v>275914.08049984614</v>
      </c>
      <c r="E105" s="45">
        <f t="shared" si="5"/>
        <v>647845.71020690806</v>
      </c>
      <c r="F105" s="103">
        <f t="shared" si="9"/>
        <v>6.0000000000000039E-2</v>
      </c>
      <c r="G105" s="104">
        <f t="shared" si="6"/>
        <v>5.1430128318229462E-3</v>
      </c>
      <c r="H105" s="102">
        <f t="shared" si="11"/>
        <v>239930.34802645093</v>
      </c>
      <c r="I105" s="105">
        <f t="shared" si="12"/>
        <v>46411780.598883115</v>
      </c>
      <c r="J105" s="129">
        <f t="shared" si="13"/>
        <v>5</v>
      </c>
      <c r="K105" s="251"/>
      <c r="L105" s="254"/>
      <c r="O105"/>
      <c r="P105"/>
    </row>
    <row r="106" spans="1:16" s="130" customFormat="1" x14ac:dyDescent="0.25">
      <c r="A106" s="132">
        <v>61</v>
      </c>
      <c r="B106" s="101">
        <f t="shared" si="7"/>
        <v>46411780.598883115</v>
      </c>
      <c r="C106" s="79">
        <f t="shared" si="14"/>
        <v>919008.88224962726</v>
      </c>
      <c r="D106" s="45">
        <f t="shared" si="10"/>
        <v>270735.38682681817</v>
      </c>
      <c r="E106" s="45">
        <f t="shared" si="5"/>
        <v>648273.49542280915</v>
      </c>
      <c r="F106" s="103">
        <f>+F105</f>
        <v>6.0000000000000039E-2</v>
      </c>
      <c r="G106" s="104">
        <f t="shared" si="6"/>
        <v>5.1430128318229462E-3</v>
      </c>
      <c r="H106" s="102">
        <f t="shared" si="11"/>
        <v>235362.3042623169</v>
      </c>
      <c r="I106" s="105">
        <f t="shared" si="12"/>
        <v>45528144.799197987</v>
      </c>
      <c r="J106" s="92">
        <f t="shared" si="13"/>
        <v>5.083333333333333</v>
      </c>
      <c r="K106" s="249">
        <f>+SUM(D106:D117)</f>
        <v>2913849.033461479</v>
      </c>
      <c r="L106" s="252">
        <f>+SUM(E106:E117)+SUM(H106:H117)</f>
        <v>10336464.343991024</v>
      </c>
      <c r="O106"/>
      <c r="P106"/>
    </row>
    <row r="107" spans="1:16" x14ac:dyDescent="0.25">
      <c r="A107" s="132">
        <v>62</v>
      </c>
      <c r="B107" s="101">
        <f t="shared" si="7"/>
        <v>45528144.799197987</v>
      </c>
      <c r="C107" s="79">
        <f t="shared" si="14"/>
        <v>914282.40777565807</v>
      </c>
      <c r="D107" s="45">
        <f t="shared" si="10"/>
        <v>265580.84466198826</v>
      </c>
      <c r="E107" s="45">
        <f t="shared" si="5"/>
        <v>648701.56311366986</v>
      </c>
      <c r="F107" s="103">
        <f t="shared" ref="F107:F165" si="15">+F106</f>
        <v>6.0000000000000039E-2</v>
      </c>
      <c r="G107" s="104">
        <f t="shared" si="6"/>
        <v>5.1430128318229462E-3</v>
      </c>
      <c r="H107" s="102">
        <f t="shared" si="11"/>
        <v>230815.5524482512</v>
      </c>
      <c r="I107" s="105">
        <f t="shared" si="12"/>
        <v>44648627.683636069</v>
      </c>
      <c r="J107" s="93">
        <f t="shared" si="13"/>
        <v>5.166666666666667</v>
      </c>
      <c r="K107" s="250"/>
      <c r="L107" s="253"/>
    </row>
    <row r="108" spans="1:16" x14ac:dyDescent="0.25">
      <c r="A108" s="132">
        <v>63</v>
      </c>
      <c r="B108" s="101">
        <f t="shared" si="7"/>
        <v>44648627.683636069</v>
      </c>
      <c r="C108" s="79">
        <f t="shared" si="14"/>
        <v>909580.24162055785</v>
      </c>
      <c r="D108" s="45">
        <f t="shared" si="10"/>
        <v>260450.32815454376</v>
      </c>
      <c r="E108" s="45">
        <f t="shared" si="5"/>
        <v>649129.91346601408</v>
      </c>
      <c r="F108" s="103">
        <f t="shared" si="15"/>
        <v>6.0000000000000039E-2</v>
      </c>
      <c r="G108" s="104">
        <f t="shared" si="6"/>
        <v>5.1430128318229462E-3</v>
      </c>
      <c r="H108" s="102">
        <f t="shared" si="11"/>
        <v>226289.9816257497</v>
      </c>
      <c r="I108" s="105">
        <f t="shared" si="12"/>
        <v>43773207.788544305</v>
      </c>
      <c r="J108" s="93">
        <f t="shared" si="13"/>
        <v>5.25</v>
      </c>
      <c r="K108" s="250"/>
      <c r="L108" s="253"/>
    </row>
    <row r="109" spans="1:16" x14ac:dyDescent="0.25">
      <c r="A109" s="132">
        <v>64</v>
      </c>
      <c r="B109" s="101">
        <f t="shared" si="7"/>
        <v>43773207.788544305</v>
      </c>
      <c r="C109" s="79">
        <f t="shared" si="14"/>
        <v>904902.2587663309</v>
      </c>
      <c r="D109" s="45">
        <f t="shared" si="10"/>
        <v>255343.7120998418</v>
      </c>
      <c r="E109" s="45">
        <f t="shared" si="5"/>
        <v>649558.5466664891</v>
      </c>
      <c r="F109" s="103">
        <f t="shared" si="15"/>
        <v>6.0000000000000039E-2</v>
      </c>
      <c r="G109" s="104">
        <f t="shared" si="6"/>
        <v>5.1430128318229462E-3</v>
      </c>
      <c r="H109" s="102">
        <f t="shared" si="11"/>
        <v>221785.48140600946</v>
      </c>
      <c r="I109" s="105">
        <f t="shared" si="12"/>
        <v>42901863.760471806</v>
      </c>
      <c r="J109" s="93">
        <f t="shared" si="13"/>
        <v>5.333333333333333</v>
      </c>
      <c r="K109" s="250"/>
      <c r="L109" s="253"/>
    </row>
    <row r="110" spans="1:16" x14ac:dyDescent="0.25">
      <c r="A110" s="132">
        <v>65</v>
      </c>
      <c r="B110" s="101">
        <f t="shared" si="7"/>
        <v>42901863.760471806</v>
      </c>
      <c r="C110" s="79">
        <f t="shared" si="14"/>
        <v>900248.33483794983</v>
      </c>
      <c r="D110" s="45">
        <f t="shared" ref="D110:D165" si="16">+B110*$C$39</f>
        <v>250260.87193608555</v>
      </c>
      <c r="E110" s="45">
        <f t="shared" si="5"/>
        <v>649987.46290186432</v>
      </c>
      <c r="F110" s="103">
        <f t="shared" si="15"/>
        <v>6.0000000000000039E-2</v>
      </c>
      <c r="G110" s="104">
        <f t="shared" si="6"/>
        <v>5.1430128318229462E-3</v>
      </c>
      <c r="H110" s="102">
        <f t="shared" ref="H110:H141" si="17">+(B110-E110)*G110</f>
        <v>217301.94196699798</v>
      </c>
      <c r="I110" s="105">
        <f t="shared" ref="I110:I141" si="18">+B110-H110-E110</f>
        <v>42034574.355602942</v>
      </c>
      <c r="J110" s="93">
        <f t="shared" ref="J110:J141" si="19">+A110/12</f>
        <v>5.416666666666667</v>
      </c>
      <c r="K110" s="250"/>
      <c r="L110" s="253"/>
    </row>
    <row r="111" spans="1:16" x14ac:dyDescent="0.25">
      <c r="A111" s="132">
        <v>66</v>
      </c>
      <c r="B111" s="101">
        <f t="shared" si="7"/>
        <v>42034574.355602942</v>
      </c>
      <c r="C111" s="79">
        <f t="shared" ref="C111:C165" si="20">+-PMT($C$39,120-A110,+B111)</f>
        <v>895618.34610005119</v>
      </c>
      <c r="D111" s="45">
        <f t="shared" si="16"/>
        <v>245201.68374101719</v>
      </c>
      <c r="E111" s="45">
        <f t="shared" ref="E111:E165" si="21">+C111-D111</f>
        <v>650416.66235903394</v>
      </c>
      <c r="F111" s="103">
        <f t="shared" si="15"/>
        <v>6.0000000000000039E-2</v>
      </c>
      <c r="G111" s="104">
        <f t="shared" ref="G111:G165" si="22">1-(1-F111)^(1/12)</f>
        <v>5.1430128318229462E-3</v>
      </c>
      <c r="H111" s="102">
        <f t="shared" si="17"/>
        <v>212839.25405053771</v>
      </c>
      <c r="I111" s="105">
        <f t="shared" si="18"/>
        <v>41171318.439193368</v>
      </c>
      <c r="J111" s="93">
        <f t="shared" si="19"/>
        <v>5.5</v>
      </c>
      <c r="K111" s="250"/>
      <c r="L111" s="253"/>
    </row>
    <row r="112" spans="1:16" x14ac:dyDescent="0.25">
      <c r="A112" s="132">
        <v>67</v>
      </c>
      <c r="B112" s="101">
        <f t="shared" ref="B112:B165" si="23">+I111</f>
        <v>41171318.439193368</v>
      </c>
      <c r="C112" s="79">
        <f t="shared" si="20"/>
        <v>891012.16945364256</v>
      </c>
      <c r="D112" s="45">
        <f t="shared" si="16"/>
        <v>240166.024228628</v>
      </c>
      <c r="E112" s="45">
        <f t="shared" si="21"/>
        <v>650846.14522501454</v>
      </c>
      <c r="F112" s="103">
        <f t="shared" si="15"/>
        <v>6.0000000000000039E-2</v>
      </c>
      <c r="G112" s="104">
        <f t="shared" si="22"/>
        <v>5.1430128318229462E-3</v>
      </c>
      <c r="H112" s="102">
        <f t="shared" si="17"/>
        <v>208397.3089594054</v>
      </c>
      <c r="I112" s="105">
        <f t="shared" si="18"/>
        <v>40312074.985008955</v>
      </c>
      <c r="J112" s="93">
        <f t="shared" si="19"/>
        <v>5.583333333333333</v>
      </c>
      <c r="K112" s="250"/>
      <c r="L112" s="253"/>
    </row>
    <row r="113" spans="1:12" x14ac:dyDescent="0.25">
      <c r="A113" s="132">
        <v>68</v>
      </c>
      <c r="B113" s="101">
        <f t="shared" si="23"/>
        <v>40312074.985008955</v>
      </c>
      <c r="C113" s="79">
        <f t="shared" si="20"/>
        <v>886429.6824328322</v>
      </c>
      <c r="D113" s="45">
        <f t="shared" si="16"/>
        <v>235153.77074588559</v>
      </c>
      <c r="E113" s="45">
        <f t="shared" si="21"/>
        <v>651275.91168694664</v>
      </c>
      <c r="F113" s="103">
        <f t="shared" si="15"/>
        <v>6.0000000000000039E-2</v>
      </c>
      <c r="G113" s="104">
        <f t="shared" si="22"/>
        <v>5.1430128318229462E-3</v>
      </c>
      <c r="H113" s="102">
        <f t="shared" si="17"/>
        <v>203975.99855444668</v>
      </c>
      <c r="I113" s="105">
        <f t="shared" si="18"/>
        <v>39456823.07476756</v>
      </c>
      <c r="J113" s="93">
        <f t="shared" si="19"/>
        <v>5.666666666666667</v>
      </c>
      <c r="K113" s="250"/>
      <c r="L113" s="253"/>
    </row>
    <row r="114" spans="1:12" x14ac:dyDescent="0.25">
      <c r="A114" s="132">
        <v>69</v>
      </c>
      <c r="B114" s="101">
        <f t="shared" si="23"/>
        <v>39456823.07476756</v>
      </c>
      <c r="C114" s="79">
        <f t="shared" si="20"/>
        <v>881870.76320157107</v>
      </c>
      <c r="D114" s="45">
        <f t="shared" si="16"/>
        <v>230164.80126947744</v>
      </c>
      <c r="E114" s="45">
        <f t="shared" si="21"/>
        <v>651705.9619320936</v>
      </c>
      <c r="F114" s="103">
        <f t="shared" si="15"/>
        <v>6.0000000000000039E-2</v>
      </c>
      <c r="G114" s="104">
        <f t="shared" si="22"/>
        <v>5.1430128318229462E-3</v>
      </c>
      <c r="H114" s="102">
        <f t="shared" si="17"/>
        <v>199575.215251705</v>
      </c>
      <c r="I114" s="105">
        <f t="shared" si="18"/>
        <v>38605541.89758376</v>
      </c>
      <c r="J114" s="93">
        <f t="shared" si="19"/>
        <v>5.75</v>
      </c>
      <c r="K114" s="250"/>
      <c r="L114" s="253"/>
    </row>
    <row r="115" spans="1:12" x14ac:dyDescent="0.25">
      <c r="A115" s="132">
        <v>70</v>
      </c>
      <c r="B115" s="101">
        <f t="shared" si="23"/>
        <v>38605541.89758376</v>
      </c>
      <c r="C115" s="79">
        <f t="shared" si="20"/>
        <v>877335.2905504161</v>
      </c>
      <c r="D115" s="45">
        <f t="shared" si="16"/>
        <v>225198.99440257196</v>
      </c>
      <c r="E115" s="45">
        <f t="shared" si="21"/>
        <v>652136.29614784417</v>
      </c>
      <c r="F115" s="103">
        <f t="shared" si="15"/>
        <v>6.0000000000000039E-2</v>
      </c>
      <c r="G115" s="104">
        <f t="shared" si="22"/>
        <v>5.1430128318229462E-3</v>
      </c>
      <c r="H115" s="102">
        <f t="shared" si="17"/>
        <v>195194.85201956579</v>
      </c>
      <c r="I115" s="105">
        <f t="shared" si="18"/>
        <v>37758210.749416351</v>
      </c>
      <c r="J115" s="93">
        <f t="shared" si="19"/>
        <v>5.833333333333333</v>
      </c>
      <c r="K115" s="250"/>
      <c r="L115" s="253"/>
    </row>
    <row r="116" spans="1:12" x14ac:dyDescent="0.25">
      <c r="A116" s="132">
        <v>71</v>
      </c>
      <c r="B116" s="101">
        <f t="shared" si="23"/>
        <v>37758210.749416351</v>
      </c>
      <c r="C116" s="79">
        <f t="shared" si="20"/>
        <v>872823.14389330428</v>
      </c>
      <c r="D116" s="45">
        <f t="shared" si="16"/>
        <v>220256.2293715954</v>
      </c>
      <c r="E116" s="45">
        <f t="shared" si="21"/>
        <v>652566.91452170885</v>
      </c>
      <c r="F116" s="103">
        <f t="shared" si="15"/>
        <v>6.0000000000000039E-2</v>
      </c>
      <c r="G116" s="104">
        <f t="shared" si="22"/>
        <v>5.1430128318229462E-3</v>
      </c>
      <c r="H116" s="102">
        <f t="shared" si="17"/>
        <v>190834.80237591514</v>
      </c>
      <c r="I116" s="105">
        <f t="shared" si="18"/>
        <v>36914809.03251873</v>
      </c>
      <c r="J116" s="93">
        <f t="shared" si="19"/>
        <v>5.916666666666667</v>
      </c>
      <c r="K116" s="250"/>
      <c r="L116" s="253"/>
    </row>
    <row r="117" spans="1:12" ht="13.8" thickBot="1" x14ac:dyDescent="0.3">
      <c r="A117" s="132">
        <v>72</v>
      </c>
      <c r="B117" s="101">
        <f t="shared" si="23"/>
        <v>36914809.03251873</v>
      </c>
      <c r="C117" s="79">
        <f t="shared" si="20"/>
        <v>868334.20326434902</v>
      </c>
      <c r="D117" s="45">
        <f t="shared" si="16"/>
        <v>215336.38602302593</v>
      </c>
      <c r="E117" s="45">
        <f t="shared" si="21"/>
        <v>652997.81724132306</v>
      </c>
      <c r="F117" s="103">
        <f t="shared" si="15"/>
        <v>6.0000000000000039E-2</v>
      </c>
      <c r="G117" s="104">
        <f t="shared" si="22"/>
        <v>5.1430128318229462E-3</v>
      </c>
      <c r="H117" s="102">
        <f t="shared" si="17"/>
        <v>186494.96038531291</v>
      </c>
      <c r="I117" s="105">
        <f t="shared" si="18"/>
        <v>36075316.254892088</v>
      </c>
      <c r="J117" s="129">
        <f t="shared" si="19"/>
        <v>6</v>
      </c>
      <c r="K117" s="251"/>
      <c r="L117" s="254"/>
    </row>
    <row r="118" spans="1:12" x14ac:dyDescent="0.25">
      <c r="A118" s="132">
        <v>73</v>
      </c>
      <c r="B118" s="101">
        <f t="shared" si="23"/>
        <v>36075316.254892088</v>
      </c>
      <c r="C118" s="79">
        <f t="shared" si="20"/>
        <v>863868.34931464947</v>
      </c>
      <c r="D118" s="45">
        <f t="shared" si="16"/>
        <v>210439.34482020387</v>
      </c>
      <c r="E118" s="45">
        <f t="shared" si="21"/>
        <v>653429.00449444563</v>
      </c>
      <c r="F118" s="103">
        <f t="shared" si="15"/>
        <v>6.0000000000000039E-2</v>
      </c>
      <c r="G118" s="104">
        <f t="shared" si="22"/>
        <v>5.1430128318229462E-3</v>
      </c>
      <c r="H118" s="102">
        <f t="shared" si="17"/>
        <v>182175.2206561807</v>
      </c>
      <c r="I118" s="105">
        <f t="shared" si="18"/>
        <v>35239712.029741466</v>
      </c>
      <c r="J118" s="92">
        <f t="shared" si="19"/>
        <v>6.083333333333333</v>
      </c>
      <c r="K118" s="249">
        <f>+SUM(D118:D129)</f>
        <v>2208471.0031550569</v>
      </c>
      <c r="L118" s="252">
        <f>+SUM(E118:E129)+SUM(H118:H129)</f>
        <v>9776333.1640804317</v>
      </c>
    </row>
    <row r="119" spans="1:12" x14ac:dyDescent="0.25">
      <c r="A119" s="132">
        <v>74</v>
      </c>
      <c r="B119" s="101">
        <f t="shared" si="23"/>
        <v>35239712.029741466</v>
      </c>
      <c r="C119" s="79">
        <f t="shared" si="20"/>
        <v>859425.46330911864</v>
      </c>
      <c r="D119" s="45">
        <f t="shared" si="16"/>
        <v>205564.98684015856</v>
      </c>
      <c r="E119" s="45">
        <f t="shared" si="21"/>
        <v>653860.47646896006</v>
      </c>
      <c r="F119" s="103">
        <f t="shared" si="15"/>
        <v>6.0000000000000039E-2</v>
      </c>
      <c r="G119" s="104">
        <f t="shared" si="22"/>
        <v>5.1430128318229462E-3</v>
      </c>
      <c r="H119" s="102">
        <f t="shared" si="17"/>
        <v>177875.47833800409</v>
      </c>
      <c r="I119" s="105">
        <f t="shared" si="18"/>
        <v>34407976.074934505</v>
      </c>
      <c r="J119" s="93">
        <f t="shared" si="19"/>
        <v>6.166666666666667</v>
      </c>
      <c r="K119" s="250"/>
      <c r="L119" s="253"/>
    </row>
    <row r="120" spans="1:12" x14ac:dyDescent="0.25">
      <c r="A120" s="132">
        <v>75</v>
      </c>
      <c r="B120" s="101">
        <f t="shared" si="23"/>
        <v>34407976.074934505</v>
      </c>
      <c r="C120" s="79">
        <f t="shared" si="20"/>
        <v>855005.42712332448</v>
      </c>
      <c r="D120" s="45">
        <f t="shared" si="16"/>
        <v>200713.1937704513</v>
      </c>
      <c r="E120" s="45">
        <f t="shared" si="21"/>
        <v>654292.23335287324</v>
      </c>
      <c r="F120" s="103">
        <f t="shared" si="15"/>
        <v>6.0000000000000039E-2</v>
      </c>
      <c r="G120" s="104">
        <f t="shared" si="22"/>
        <v>5.1430128318229462E-3</v>
      </c>
      <c r="H120" s="102">
        <f t="shared" si="17"/>
        <v>173595.6291185492</v>
      </c>
      <c r="I120" s="105">
        <f t="shared" si="18"/>
        <v>33580088.212463088</v>
      </c>
      <c r="J120" s="93">
        <f t="shared" si="19"/>
        <v>6.25</v>
      </c>
      <c r="K120" s="250"/>
      <c r="L120" s="253"/>
    </row>
    <row r="121" spans="1:12" x14ac:dyDescent="0.25">
      <c r="A121" s="132">
        <v>76</v>
      </c>
      <c r="B121" s="101">
        <f t="shared" si="23"/>
        <v>33580088.212463088</v>
      </c>
      <c r="C121" s="79">
        <f t="shared" si="20"/>
        <v>850608.12324035121</v>
      </c>
      <c r="D121" s="45">
        <f t="shared" si="16"/>
        <v>195883.8479060347</v>
      </c>
      <c r="E121" s="45">
        <f t="shared" si="21"/>
        <v>654724.27533431654</v>
      </c>
      <c r="F121" s="103">
        <f t="shared" si="15"/>
        <v>6.0000000000000039E-2</v>
      </c>
      <c r="G121" s="104">
        <f t="shared" si="22"/>
        <v>5.1430128318229462E-3</v>
      </c>
      <c r="H121" s="102">
        <f t="shared" si="17"/>
        <v>169335.56922109376</v>
      </c>
      <c r="I121" s="105">
        <f t="shared" si="18"/>
        <v>32756028.367907677</v>
      </c>
      <c r="J121" s="93">
        <f t="shared" si="19"/>
        <v>6.333333333333333</v>
      </c>
      <c r="K121" s="250"/>
      <c r="L121" s="253"/>
    </row>
    <row r="122" spans="1:12" x14ac:dyDescent="0.25">
      <c r="A122" s="132">
        <v>77</v>
      </c>
      <c r="B122" s="101">
        <f t="shared" si="23"/>
        <v>32756028.367907677</v>
      </c>
      <c r="C122" s="79">
        <f t="shared" si="20"/>
        <v>846233.43474767311</v>
      </c>
      <c r="D122" s="45">
        <f t="shared" si="16"/>
        <v>191076.83214612812</v>
      </c>
      <c r="E122" s="45">
        <f t="shared" si="21"/>
        <v>655156.60260154493</v>
      </c>
      <c r="F122" s="103">
        <f t="shared" si="15"/>
        <v>6.0000000000000039E-2</v>
      </c>
      <c r="G122" s="104">
        <f t="shared" si="22"/>
        <v>5.1430128318229462E-3</v>
      </c>
      <c r="H122" s="102">
        <f t="shared" si="17"/>
        <v>165095.19540167233</v>
      </c>
      <c r="I122" s="105">
        <f t="shared" si="18"/>
        <v>31935776.569904462</v>
      </c>
      <c r="J122" s="93">
        <f t="shared" si="19"/>
        <v>6.416666666666667</v>
      </c>
      <c r="K122" s="250"/>
      <c r="L122" s="253"/>
    </row>
    <row r="123" spans="1:12" x14ac:dyDescent="0.25">
      <c r="A123" s="132">
        <v>78</v>
      </c>
      <c r="B123" s="101">
        <f t="shared" si="23"/>
        <v>31935776.569904462</v>
      </c>
      <c r="C123" s="79">
        <f t="shared" si="20"/>
        <v>841881.24533404829</v>
      </c>
      <c r="D123" s="45">
        <f t="shared" si="16"/>
        <v>186292.02999110936</v>
      </c>
      <c r="E123" s="45">
        <f t="shared" si="21"/>
        <v>655589.2153429389</v>
      </c>
      <c r="F123" s="103">
        <f t="shared" si="15"/>
        <v>6.0000000000000039E-2</v>
      </c>
      <c r="G123" s="104">
        <f t="shared" si="22"/>
        <v>5.1430128318229462E-3</v>
      </c>
      <c r="H123" s="102">
        <f t="shared" si="17"/>
        <v>160874.40494633577</v>
      </c>
      <c r="I123" s="105">
        <f t="shared" si="18"/>
        <v>31119312.949615188</v>
      </c>
      <c r="J123" s="93">
        <f t="shared" si="19"/>
        <v>6.5</v>
      </c>
      <c r="K123" s="250"/>
      <c r="L123" s="253"/>
    </row>
    <row r="124" spans="1:12" x14ac:dyDescent="0.25">
      <c r="A124" s="132">
        <v>79</v>
      </c>
      <c r="B124" s="101">
        <f t="shared" si="23"/>
        <v>31119312.949615188</v>
      </c>
      <c r="C124" s="79">
        <f t="shared" si="20"/>
        <v>837551.43928642431</v>
      </c>
      <c r="D124" s="45">
        <f t="shared" si="16"/>
        <v>181529.32553942193</v>
      </c>
      <c r="E124" s="45">
        <f t="shared" si="21"/>
        <v>656022.11374700232</v>
      </c>
      <c r="F124" s="103">
        <f t="shared" si="15"/>
        <v>6.0000000000000039E-2</v>
      </c>
      <c r="G124" s="104">
        <f t="shared" si="22"/>
        <v>5.1430128318229462E-3</v>
      </c>
      <c r="H124" s="102">
        <f t="shared" si="17"/>
        <v>156673.09566842444</v>
      </c>
      <c r="I124" s="105">
        <f t="shared" si="18"/>
        <v>30306617.740199763</v>
      </c>
      <c r="J124" s="93">
        <f t="shared" si="19"/>
        <v>6.583333333333333</v>
      </c>
      <c r="K124" s="250"/>
      <c r="L124" s="253"/>
    </row>
    <row r="125" spans="1:12" x14ac:dyDescent="0.25">
      <c r="A125" s="132">
        <v>80</v>
      </c>
      <c r="B125" s="101">
        <f t="shared" si="23"/>
        <v>30306617.740199763</v>
      </c>
      <c r="C125" s="79">
        <f t="shared" si="20"/>
        <v>833243.90148686257</v>
      </c>
      <c r="D125" s="45">
        <f t="shared" si="16"/>
        <v>176788.60348449863</v>
      </c>
      <c r="E125" s="45">
        <f t="shared" si="21"/>
        <v>656455.29800236388</v>
      </c>
      <c r="F125" s="103">
        <f t="shared" si="15"/>
        <v>6.0000000000000039E-2</v>
      </c>
      <c r="G125" s="104">
        <f t="shared" si="22"/>
        <v>5.1430128318229462E-3</v>
      </c>
      <c r="H125" s="102">
        <f t="shared" si="17"/>
        <v>152491.16590585603</v>
      </c>
      <c r="I125" s="105">
        <f t="shared" si="18"/>
        <v>29497671.276291545</v>
      </c>
      <c r="J125" s="93">
        <f t="shared" si="19"/>
        <v>6.666666666666667</v>
      </c>
      <c r="K125" s="250"/>
      <c r="L125" s="253"/>
    </row>
    <row r="126" spans="1:12" x14ac:dyDescent="0.25">
      <c r="A126" s="132">
        <v>81</v>
      </c>
      <c r="B126" s="101">
        <f t="shared" si="23"/>
        <v>29497671.276291545</v>
      </c>
      <c r="C126" s="79">
        <f t="shared" si="20"/>
        <v>828958.5174094775</v>
      </c>
      <c r="D126" s="45">
        <f t="shared" si="16"/>
        <v>172069.74911170069</v>
      </c>
      <c r="E126" s="45">
        <f t="shared" si="21"/>
        <v>656888.76829777681</v>
      </c>
      <c r="F126" s="103">
        <f t="shared" si="15"/>
        <v>6.0000000000000039E-2</v>
      </c>
      <c r="G126" s="104">
        <f t="shared" si="22"/>
        <v>5.1430128318229462E-3</v>
      </c>
      <c r="H126" s="102">
        <f t="shared" si="17"/>
        <v>148328.51451842673</v>
      </c>
      <c r="I126" s="105">
        <f t="shared" si="18"/>
        <v>28692453.99347534</v>
      </c>
      <c r="J126" s="93">
        <f t="shared" si="19"/>
        <v>6.75</v>
      </c>
      <c r="K126" s="250"/>
      <c r="L126" s="253"/>
    </row>
    <row r="127" spans="1:12" x14ac:dyDescent="0.25">
      <c r="A127" s="132">
        <v>82</v>
      </c>
      <c r="B127" s="101">
        <f t="shared" si="23"/>
        <v>28692453.99347534</v>
      </c>
      <c r="C127" s="79">
        <f t="shared" si="20"/>
        <v>824695.17311739153</v>
      </c>
      <c r="D127" s="45">
        <f t="shared" si="16"/>
        <v>167372.64829527284</v>
      </c>
      <c r="E127" s="45">
        <f t="shared" si="21"/>
        <v>657322.52482211869</v>
      </c>
      <c r="F127" s="103">
        <f t="shared" si="15"/>
        <v>6.0000000000000039E-2</v>
      </c>
      <c r="G127" s="104">
        <f t="shared" si="22"/>
        <v>5.1430128318229462E-3</v>
      </c>
      <c r="H127" s="102">
        <f t="shared" si="17"/>
        <v>144185.0408851268</v>
      </c>
      <c r="I127" s="105">
        <f t="shared" si="18"/>
        <v>27890946.427768093</v>
      </c>
      <c r="J127" s="93">
        <f t="shared" si="19"/>
        <v>6.833333333333333</v>
      </c>
      <c r="K127" s="250"/>
      <c r="L127" s="253"/>
    </row>
    <row r="128" spans="1:12" x14ac:dyDescent="0.25">
      <c r="A128" s="132">
        <v>83</v>
      </c>
      <c r="B128" s="101">
        <f t="shared" si="23"/>
        <v>27890946.427768093</v>
      </c>
      <c r="C128" s="79">
        <f t="shared" si="20"/>
        <v>820453.75525970617</v>
      </c>
      <c r="D128" s="45">
        <f t="shared" si="16"/>
        <v>162697.18749531388</v>
      </c>
      <c r="E128" s="45">
        <f t="shared" si="21"/>
        <v>657756.56776439236</v>
      </c>
      <c r="F128" s="103">
        <f t="shared" si="15"/>
        <v>6.0000000000000039E-2</v>
      </c>
      <c r="G128" s="104">
        <f t="shared" si="22"/>
        <v>5.1430128318229462E-3</v>
      </c>
      <c r="H128" s="102">
        <f t="shared" si="17"/>
        <v>140060.64490146955</v>
      </c>
      <c r="I128" s="105">
        <f t="shared" si="18"/>
        <v>27093129.215102229</v>
      </c>
      <c r="J128" s="93">
        <f t="shared" si="19"/>
        <v>6.916666666666667</v>
      </c>
      <c r="K128" s="250"/>
      <c r="L128" s="253"/>
    </row>
    <row r="129" spans="1:12" ht="13.8" thickBot="1" x14ac:dyDescent="0.3">
      <c r="A129" s="132">
        <v>84</v>
      </c>
      <c r="B129" s="101">
        <f t="shared" si="23"/>
        <v>27093129.215102229</v>
      </c>
      <c r="C129" s="79">
        <f t="shared" si="20"/>
        <v>816234.15106848825</v>
      </c>
      <c r="D129" s="45">
        <f t="shared" si="16"/>
        <v>158043.25375476302</v>
      </c>
      <c r="E129" s="45">
        <f t="shared" si="21"/>
        <v>658190.8973137252</v>
      </c>
      <c r="F129" s="103">
        <f t="shared" si="15"/>
        <v>6.0000000000000039E-2</v>
      </c>
      <c r="G129" s="104">
        <f t="shared" si="22"/>
        <v>5.1430128318229462E-3</v>
      </c>
      <c r="H129" s="102">
        <f t="shared" si="17"/>
        <v>135955.22697683435</v>
      </c>
      <c r="I129" s="105">
        <f t="shared" si="18"/>
        <v>26298983.09081167</v>
      </c>
      <c r="J129" s="129">
        <f t="shared" si="19"/>
        <v>7</v>
      </c>
      <c r="K129" s="251"/>
      <c r="L129" s="254"/>
    </row>
    <row r="130" spans="1:12" x14ac:dyDescent="0.25">
      <c r="A130" s="132">
        <v>85</v>
      </c>
      <c r="B130" s="101">
        <f t="shared" si="23"/>
        <v>26298983.09081167</v>
      </c>
      <c r="C130" s="79">
        <f t="shared" si="20"/>
        <v>812036.24835577072</v>
      </c>
      <c r="D130" s="45">
        <f t="shared" si="16"/>
        <v>153410.73469640143</v>
      </c>
      <c r="E130" s="45">
        <f t="shared" si="21"/>
        <v>658625.51365936932</v>
      </c>
      <c r="F130" s="103">
        <f t="shared" si="15"/>
        <v>6.0000000000000039E-2</v>
      </c>
      <c r="G130" s="104">
        <f t="shared" si="22"/>
        <v>5.1430128318229462E-3</v>
      </c>
      <c r="H130" s="102">
        <f t="shared" si="17"/>
        <v>131868.688031823</v>
      </c>
      <c r="I130" s="105">
        <f t="shared" si="18"/>
        <v>25508488.889120478</v>
      </c>
      <c r="J130" s="92">
        <f t="shared" si="19"/>
        <v>7.083333333333333</v>
      </c>
      <c r="K130" s="249">
        <f>+SUM(D130:D141)</f>
        <v>1541196.385568457</v>
      </c>
      <c r="L130" s="252">
        <f>+SUM(E130:E141)+SUM(H130:H141)</f>
        <v>9250287.4662882388</v>
      </c>
    </row>
    <row r="131" spans="1:12" x14ac:dyDescent="0.25">
      <c r="A131" s="132">
        <v>86</v>
      </c>
      <c r="B131" s="101">
        <f t="shared" si="23"/>
        <v>25508488.889120478</v>
      </c>
      <c r="C131" s="79">
        <f t="shared" si="20"/>
        <v>807859.93551057181</v>
      </c>
      <c r="D131" s="45">
        <f t="shared" si="16"/>
        <v>148799.51851986945</v>
      </c>
      <c r="E131" s="45">
        <f t="shared" si="21"/>
        <v>659060.41699070239</v>
      </c>
      <c r="F131" s="103">
        <f t="shared" si="15"/>
        <v>6.0000000000000039E-2</v>
      </c>
      <c r="G131" s="104">
        <f t="shared" si="22"/>
        <v>5.1430128318229462E-3</v>
      </c>
      <c r="H131" s="102">
        <f t="shared" si="17"/>
        <v>127800.92949562991</v>
      </c>
      <c r="I131" s="105">
        <f t="shared" si="18"/>
        <v>24721627.542634148</v>
      </c>
      <c r="J131" s="93">
        <f t="shared" si="19"/>
        <v>7.166666666666667</v>
      </c>
      <c r="K131" s="250"/>
      <c r="L131" s="253"/>
    </row>
    <row r="132" spans="1:12" x14ac:dyDescent="0.25">
      <c r="A132" s="132">
        <v>87</v>
      </c>
      <c r="B132" s="101">
        <f t="shared" si="23"/>
        <v>24721627.542634148</v>
      </c>
      <c r="C132" s="79">
        <f t="shared" si="20"/>
        <v>803705.10149592522</v>
      </c>
      <c r="D132" s="45">
        <f t="shared" si="16"/>
        <v>144209.49399869921</v>
      </c>
      <c r="E132" s="45">
        <f t="shared" si="21"/>
        <v>659495.60749722598</v>
      </c>
      <c r="F132" s="103">
        <f t="shared" si="15"/>
        <v>6.0000000000000039E-2</v>
      </c>
      <c r="G132" s="104">
        <f t="shared" si="22"/>
        <v>5.1430128318229462E-3</v>
      </c>
      <c r="H132" s="102">
        <f t="shared" si="17"/>
        <v>123751.85330342589</v>
      </c>
      <c r="I132" s="105">
        <f t="shared" si="18"/>
        <v>23938380.081833497</v>
      </c>
      <c r="J132" s="93">
        <f t="shared" si="19"/>
        <v>7.25</v>
      </c>
      <c r="K132" s="250"/>
      <c r="L132" s="253"/>
    </row>
    <row r="133" spans="1:12" x14ac:dyDescent="0.25">
      <c r="A133" s="132">
        <v>88</v>
      </c>
      <c r="B133" s="101">
        <f t="shared" si="23"/>
        <v>23938380.081833497</v>
      </c>
      <c r="C133" s="79">
        <f t="shared" si="20"/>
        <v>799571.6358459302</v>
      </c>
      <c r="D133" s="45">
        <f t="shared" si="16"/>
        <v>139640.55047736206</v>
      </c>
      <c r="E133" s="45">
        <f t="shared" si="21"/>
        <v>659931.08536856808</v>
      </c>
      <c r="F133" s="103">
        <f t="shared" si="15"/>
        <v>6.0000000000000039E-2</v>
      </c>
      <c r="G133" s="104">
        <f t="shared" si="22"/>
        <v>5.1430128318229462E-3</v>
      </c>
      <c r="H133" s="102">
        <f t="shared" si="17"/>
        <v>119721.36189375512</v>
      </c>
      <c r="I133" s="105">
        <f t="shared" si="18"/>
        <v>23158727.634571172</v>
      </c>
      <c r="J133" s="93">
        <f t="shared" si="19"/>
        <v>7.333333333333333</v>
      </c>
      <c r="K133" s="250"/>
      <c r="L133" s="253"/>
    </row>
    <row r="134" spans="1:12" x14ac:dyDescent="0.25">
      <c r="A134" s="132">
        <v>89</v>
      </c>
      <c r="B134" s="101">
        <f t="shared" si="23"/>
        <v>23158727.634571172</v>
      </c>
      <c r="C134" s="79">
        <f t="shared" si="20"/>
        <v>795459.42866281292</v>
      </c>
      <c r="D134" s="45">
        <f t="shared" si="16"/>
        <v>135092.57786833183</v>
      </c>
      <c r="E134" s="45">
        <f t="shared" si="21"/>
        <v>660366.85079448111</v>
      </c>
      <c r="F134" s="103">
        <f t="shared" si="15"/>
        <v>6.0000000000000039E-2</v>
      </c>
      <c r="G134" s="104">
        <f t="shared" si="22"/>
        <v>5.1430128318229462E-3</v>
      </c>
      <c r="H134" s="102">
        <f t="shared" si="17"/>
        <v>115709.3582059457</v>
      </c>
      <c r="I134" s="105">
        <f t="shared" si="18"/>
        <v>22382651.425570749</v>
      </c>
      <c r="J134" s="93">
        <f t="shared" si="19"/>
        <v>7.416666666666667</v>
      </c>
      <c r="K134" s="250"/>
      <c r="L134" s="253"/>
    </row>
    <row r="135" spans="1:12" x14ac:dyDescent="0.25">
      <c r="A135" s="132">
        <v>90</v>
      </c>
      <c r="B135" s="101">
        <f t="shared" si="23"/>
        <v>22382651.425570749</v>
      </c>
      <c r="C135" s="79">
        <f t="shared" si="20"/>
        <v>791368.37061400583</v>
      </c>
      <c r="D135" s="45">
        <f t="shared" si="16"/>
        <v>130565.46664916271</v>
      </c>
      <c r="E135" s="45">
        <f t="shared" si="21"/>
        <v>660802.90396484314</v>
      </c>
      <c r="F135" s="103">
        <f t="shared" si="15"/>
        <v>6.0000000000000039E-2</v>
      </c>
      <c r="G135" s="104">
        <f t="shared" si="22"/>
        <v>5.1430128318229462E-3</v>
      </c>
      <c r="H135" s="102">
        <f t="shared" si="17"/>
        <v>111715.74567753346</v>
      </c>
      <c r="I135" s="105">
        <f t="shared" si="18"/>
        <v>21610132.775928371</v>
      </c>
      <c r="J135" s="93">
        <f t="shared" si="19"/>
        <v>7.5</v>
      </c>
      <c r="K135" s="250"/>
      <c r="L135" s="253"/>
    </row>
    <row r="136" spans="1:12" x14ac:dyDescent="0.25">
      <c r="A136" s="132">
        <v>91</v>
      </c>
      <c r="B136" s="101">
        <f t="shared" si="23"/>
        <v>21610132.775928371</v>
      </c>
      <c r="C136" s="79">
        <f t="shared" si="20"/>
        <v>787298.35292923893</v>
      </c>
      <c r="D136" s="45">
        <f t="shared" si="16"/>
        <v>126059.10785958217</v>
      </c>
      <c r="E136" s="45">
        <f t="shared" si="21"/>
        <v>661239.24506965675</v>
      </c>
      <c r="F136" s="103">
        <f t="shared" si="15"/>
        <v>6.0000000000000039E-2</v>
      </c>
      <c r="G136" s="104">
        <f t="shared" si="22"/>
        <v>5.1430128318229462E-3</v>
      </c>
      <c r="H136" s="102">
        <f t="shared" si="17"/>
        <v>107740.42824169908</v>
      </c>
      <c r="I136" s="105">
        <f t="shared" si="18"/>
        <v>20841153.102617014</v>
      </c>
      <c r="J136" s="93">
        <f t="shared" si="19"/>
        <v>7.583333333333333</v>
      </c>
      <c r="K136" s="250"/>
      <c r="L136" s="253"/>
    </row>
    <row r="137" spans="1:12" x14ac:dyDescent="0.25">
      <c r="A137" s="132">
        <v>92</v>
      </c>
      <c r="B137" s="101">
        <f t="shared" si="23"/>
        <v>20841153.102617014</v>
      </c>
      <c r="C137" s="79">
        <f t="shared" si="20"/>
        <v>783249.26739765087</v>
      </c>
      <c r="D137" s="45">
        <f t="shared" si="16"/>
        <v>121573.39309859925</v>
      </c>
      <c r="E137" s="45">
        <f t="shared" si="21"/>
        <v>661675.87429905159</v>
      </c>
      <c r="F137" s="103">
        <f t="shared" si="15"/>
        <v>6.0000000000000039E-2</v>
      </c>
      <c r="G137" s="104">
        <f t="shared" si="22"/>
        <v>5.1430128318229462E-3</v>
      </c>
      <c r="H137" s="102">
        <f t="shared" si="17"/>
        <v>103783.31032471822</v>
      </c>
      <c r="I137" s="105">
        <f t="shared" si="18"/>
        <v>20075693.917993244</v>
      </c>
      <c r="J137" s="93">
        <f t="shared" si="19"/>
        <v>7.666666666666667</v>
      </c>
      <c r="K137" s="250"/>
      <c r="L137" s="253"/>
    </row>
    <row r="138" spans="1:12" x14ac:dyDescent="0.25">
      <c r="A138" s="132">
        <v>93</v>
      </c>
      <c r="B138" s="101">
        <f t="shared" si="23"/>
        <v>20075693.917993244</v>
      </c>
      <c r="C138" s="79">
        <f t="shared" si="20"/>
        <v>779221.00636490865</v>
      </c>
      <c r="D138" s="45">
        <f t="shared" si="16"/>
        <v>117108.21452162726</v>
      </c>
      <c r="E138" s="45">
        <f t="shared" si="21"/>
        <v>662112.79184328136</v>
      </c>
      <c r="F138" s="103">
        <f t="shared" si="15"/>
        <v>6.0000000000000039E-2</v>
      </c>
      <c r="G138" s="104">
        <f t="shared" si="22"/>
        <v>5.1430128318229462E-3</v>
      </c>
      <c r="H138" s="102">
        <f t="shared" si="17"/>
        <v>99844.296843425022</v>
      </c>
      <c r="I138" s="105">
        <f t="shared" si="18"/>
        <v>19313736.829306539</v>
      </c>
      <c r="J138" s="93">
        <f t="shared" si="19"/>
        <v>7.75</v>
      </c>
      <c r="K138" s="250"/>
      <c r="L138" s="253"/>
    </row>
    <row r="139" spans="1:12" x14ac:dyDescent="0.25">
      <c r="A139" s="132">
        <v>94</v>
      </c>
      <c r="B139" s="101">
        <f t="shared" si="23"/>
        <v>19313736.829306539</v>
      </c>
      <c r="C139" s="79">
        <f t="shared" si="20"/>
        <v>775213.46273034823</v>
      </c>
      <c r="D139" s="45">
        <f t="shared" si="16"/>
        <v>112663.46483762149</v>
      </c>
      <c r="E139" s="45">
        <f t="shared" si="21"/>
        <v>662549.99789272668</v>
      </c>
      <c r="F139" s="103">
        <f t="shared" si="15"/>
        <v>6.0000000000000039E-2</v>
      </c>
      <c r="G139" s="104">
        <f t="shared" si="22"/>
        <v>5.1430128318229462E-3</v>
      </c>
      <c r="H139" s="102">
        <f t="shared" si="17"/>
        <v>95923.293202688394</v>
      </c>
      <c r="I139" s="105">
        <f t="shared" si="18"/>
        <v>18555263.538211126</v>
      </c>
      <c r="J139" s="93">
        <f t="shared" si="19"/>
        <v>7.833333333333333</v>
      </c>
      <c r="K139" s="250"/>
      <c r="L139" s="253"/>
    </row>
    <row r="140" spans="1:12" x14ac:dyDescent="0.25">
      <c r="A140" s="132">
        <v>95</v>
      </c>
      <c r="B140" s="101">
        <f t="shared" si="23"/>
        <v>18555263.538211126</v>
      </c>
      <c r="C140" s="79">
        <f t="shared" si="20"/>
        <v>771226.52994412405</v>
      </c>
      <c r="D140" s="45">
        <f t="shared" si="16"/>
        <v>108239.03730623158</v>
      </c>
      <c r="E140" s="45">
        <f t="shared" si="21"/>
        <v>662987.49263789249</v>
      </c>
      <c r="F140" s="103">
        <f t="shared" si="15"/>
        <v>6.0000000000000039E-2</v>
      </c>
      <c r="G140" s="104">
        <f t="shared" si="22"/>
        <v>5.1430128318229462E-3</v>
      </c>
      <c r="H140" s="102">
        <f t="shared" si="17"/>
        <v>92020.205292901461</v>
      </c>
      <c r="I140" s="105">
        <f t="shared" si="18"/>
        <v>17800255.840280332</v>
      </c>
      <c r="J140" s="93">
        <f t="shared" si="19"/>
        <v>7.916666666666667</v>
      </c>
      <c r="K140" s="250"/>
      <c r="L140" s="253"/>
    </row>
    <row r="141" spans="1:12" ht="13.8" thickBot="1" x14ac:dyDescent="0.3">
      <c r="A141" s="132">
        <v>96</v>
      </c>
      <c r="B141" s="101">
        <f t="shared" si="23"/>
        <v>17800255.840280332</v>
      </c>
      <c r="C141" s="79">
        <f t="shared" si="20"/>
        <v>767260.10200437903</v>
      </c>
      <c r="D141" s="45">
        <f t="shared" si="16"/>
        <v>103834.8257349686</v>
      </c>
      <c r="E141" s="45">
        <f t="shared" si="21"/>
        <v>663425.27626941039</v>
      </c>
      <c r="F141" s="103">
        <f t="shared" si="15"/>
        <v>6.0000000000000039E-2</v>
      </c>
      <c r="G141" s="104">
        <f t="shared" si="22"/>
        <v>5.1430128318229462E-3</v>
      </c>
      <c r="H141" s="102">
        <f t="shared" si="17"/>
        <v>88134.939487483833</v>
      </c>
      <c r="I141" s="105">
        <f t="shared" si="18"/>
        <v>17048695.624523439</v>
      </c>
      <c r="J141" s="129">
        <f t="shared" si="19"/>
        <v>8</v>
      </c>
      <c r="K141" s="251"/>
      <c r="L141" s="254"/>
    </row>
    <row r="142" spans="1:12" x14ac:dyDescent="0.25">
      <c r="A142" s="132">
        <v>97</v>
      </c>
      <c r="B142" s="101">
        <f t="shared" si="23"/>
        <v>17048695.624523439</v>
      </c>
      <c r="C142" s="79">
        <f t="shared" si="20"/>
        <v>763314.07345442486</v>
      </c>
      <c r="D142" s="45">
        <f t="shared" si="16"/>
        <v>99450.724476386735</v>
      </c>
      <c r="E142" s="45">
        <f t="shared" si="21"/>
        <v>663863.34897803818</v>
      </c>
      <c r="F142" s="103">
        <f t="shared" si="15"/>
        <v>6.0000000000000039E-2</v>
      </c>
      <c r="G142" s="104">
        <f t="shared" si="22"/>
        <v>5.1430128318229462E-3</v>
      </c>
      <c r="H142" s="102">
        <f t="shared" ref="H142:H165" si="24">+(B142-E142)*G142</f>
        <v>84267.402640396758</v>
      </c>
      <c r="I142" s="105">
        <f t="shared" ref="I142:I165" si="25">+B142-H142-E142</f>
        <v>16300564.872905001</v>
      </c>
      <c r="J142" s="92">
        <f t="shared" ref="J142:J165" si="26">+A142/12</f>
        <v>8.0833333333333339</v>
      </c>
      <c r="K142" s="249">
        <f>+SUM(D142:D153)</f>
        <v>909705.42145837226</v>
      </c>
      <c r="L142" s="252">
        <f>+SUM(E142:E153)+SUM(H142:H153)</f>
        <v>8756285.919975454</v>
      </c>
    </row>
    <row r="143" spans="1:12" x14ac:dyDescent="0.25">
      <c r="A143" s="132">
        <v>98</v>
      </c>
      <c r="B143" s="101">
        <f t="shared" si="23"/>
        <v>16300564.872905001</v>
      </c>
      <c r="C143" s="79">
        <f t="shared" si="20"/>
        <v>759388.33937993774</v>
      </c>
      <c r="D143" s="45">
        <f t="shared" si="16"/>
        <v>95086.628425279181</v>
      </c>
      <c r="E143" s="45">
        <f t="shared" si="21"/>
        <v>664301.71095465857</v>
      </c>
      <c r="F143" s="103">
        <f t="shared" si="15"/>
        <v>6.0000000000000039E-2</v>
      </c>
      <c r="G143" s="104">
        <f t="shared" si="22"/>
        <v>5.1430128318229462E-3</v>
      </c>
      <c r="H143" s="102">
        <f t="shared" si="24"/>
        <v>80417.502083671046</v>
      </c>
      <c r="I143" s="105">
        <f t="shared" si="25"/>
        <v>15555845.659866672</v>
      </c>
      <c r="J143" s="93">
        <f t="shared" si="26"/>
        <v>8.1666666666666661</v>
      </c>
      <c r="K143" s="250"/>
      <c r="L143" s="253"/>
    </row>
    <row r="144" spans="1:12" x14ac:dyDescent="0.25">
      <c r="A144" s="132">
        <v>99</v>
      </c>
      <c r="B144" s="101">
        <f t="shared" si="23"/>
        <v>15555845.659866672</v>
      </c>
      <c r="C144" s="79">
        <f t="shared" si="20"/>
        <v>755482.79540617007</v>
      </c>
      <c r="D144" s="45">
        <f t="shared" si="16"/>
        <v>90742.433015888921</v>
      </c>
      <c r="E144" s="45">
        <f t="shared" si="21"/>
        <v>664740.36239028117</v>
      </c>
      <c r="F144" s="103">
        <f t="shared" si="15"/>
        <v>6.0000000000000039E-2</v>
      </c>
      <c r="G144" s="104">
        <f t="shared" si="22"/>
        <v>5.1430128318229462E-3</v>
      </c>
      <c r="H144" s="102">
        <f t="shared" si="24"/>
        <v>76585.14562494772</v>
      </c>
      <c r="I144" s="105">
        <f t="shared" si="25"/>
        <v>14814520.151851444</v>
      </c>
      <c r="J144" s="93">
        <f t="shared" si="26"/>
        <v>8.25</v>
      </c>
      <c r="K144" s="250"/>
      <c r="L144" s="253"/>
    </row>
    <row r="145" spans="1:12" x14ac:dyDescent="0.25">
      <c r="A145" s="132">
        <v>100</v>
      </c>
      <c r="B145" s="101">
        <f t="shared" si="23"/>
        <v>14814520.151851444</v>
      </c>
      <c r="C145" s="79">
        <f t="shared" si="20"/>
        <v>751597.33769517462</v>
      </c>
      <c r="D145" s="45">
        <f t="shared" si="16"/>
        <v>86418.03421913342</v>
      </c>
      <c r="E145" s="45">
        <f t="shared" si="21"/>
        <v>665179.30347604118</v>
      </c>
      <c r="F145" s="103">
        <f t="shared" si="15"/>
        <v>6.0000000000000039E-2</v>
      </c>
      <c r="G145" s="104">
        <f t="shared" si="22"/>
        <v>5.1430128318229462E-3</v>
      </c>
      <c r="H145" s="102">
        <f t="shared" si="24"/>
        <v>72770.241545031269</v>
      </c>
      <c r="I145" s="105">
        <f t="shared" si="25"/>
        <v>14076570.606830372</v>
      </c>
      <c r="J145" s="93">
        <f t="shared" si="26"/>
        <v>8.3333333333333339</v>
      </c>
      <c r="K145" s="250"/>
      <c r="L145" s="253"/>
    </row>
    <row r="146" spans="1:12" x14ac:dyDescent="0.25">
      <c r="A146" s="132">
        <v>101</v>
      </c>
      <c r="B146" s="101">
        <f t="shared" si="23"/>
        <v>14076570.606830372</v>
      </c>
      <c r="C146" s="79">
        <f t="shared" si="20"/>
        <v>747731.8629430444</v>
      </c>
      <c r="D146" s="45">
        <f t="shared" si="16"/>
        <v>82113.328539843831</v>
      </c>
      <c r="E146" s="45">
        <f t="shared" si="21"/>
        <v>665618.53440320061</v>
      </c>
      <c r="F146" s="103">
        <f t="shared" si="15"/>
        <v>6.0000000000000039E-2</v>
      </c>
      <c r="G146" s="104">
        <f t="shared" si="22"/>
        <v>5.1430128318229462E-3</v>
      </c>
      <c r="H146" s="102">
        <f t="shared" si="24"/>
        <v>68972.698595455469</v>
      </c>
      <c r="I146" s="105">
        <f t="shared" si="25"/>
        <v>13341979.373831715</v>
      </c>
      <c r="J146" s="93">
        <f t="shared" si="26"/>
        <v>8.4166666666666661</v>
      </c>
      <c r="K146" s="250"/>
      <c r="L146" s="253"/>
    </row>
    <row r="147" spans="1:12" x14ac:dyDescent="0.25">
      <c r="A147" s="132">
        <v>102</v>
      </c>
      <c r="B147" s="101">
        <f t="shared" si="23"/>
        <v>13341979.373831715</v>
      </c>
      <c r="C147" s="79">
        <f t="shared" si="20"/>
        <v>743886.26837716543</v>
      </c>
      <c r="D147" s="45">
        <f t="shared" si="16"/>
        <v>77828.213014018344</v>
      </c>
      <c r="E147" s="45">
        <f t="shared" si="21"/>
        <v>666058.05536314705</v>
      </c>
      <c r="F147" s="103">
        <f t="shared" si="15"/>
        <v>6.0000000000000039E-2</v>
      </c>
      <c r="G147" s="104">
        <f t="shared" si="22"/>
        <v>5.1430128318229462E-3</v>
      </c>
      <c r="H147" s="102">
        <f t="shared" si="24"/>
        <v>65192.425996061887</v>
      </c>
      <c r="I147" s="105">
        <f t="shared" si="25"/>
        <v>12610728.892472507</v>
      </c>
      <c r="J147" s="93">
        <f t="shared" si="26"/>
        <v>8.5</v>
      </c>
      <c r="K147" s="250"/>
      <c r="L147" s="253"/>
    </row>
    <row r="148" spans="1:12" x14ac:dyDescent="0.25">
      <c r="A148" s="132">
        <v>103</v>
      </c>
      <c r="B148" s="101">
        <f t="shared" si="23"/>
        <v>12610728.892472507</v>
      </c>
      <c r="C148" s="79">
        <f t="shared" si="20"/>
        <v>740060.45175348467</v>
      </c>
      <c r="D148" s="45">
        <f t="shared" si="16"/>
        <v>73562.585206089629</v>
      </c>
      <c r="E148" s="45">
        <f t="shared" si="21"/>
        <v>666497.86654739501</v>
      </c>
      <c r="F148" s="103">
        <f t="shared" si="15"/>
        <v>6.0000000000000039E-2</v>
      </c>
      <c r="G148" s="104">
        <f t="shared" si="22"/>
        <v>5.1430128318229462E-3</v>
      </c>
      <c r="H148" s="102">
        <f t="shared" si="24"/>
        <v>61429.333432590611</v>
      </c>
      <c r="I148" s="105">
        <f t="shared" si="25"/>
        <v>11882801.692492522</v>
      </c>
      <c r="J148" s="93">
        <f t="shared" si="26"/>
        <v>8.5833333333333339</v>
      </c>
      <c r="K148" s="250"/>
      <c r="L148" s="253"/>
    </row>
    <row r="149" spans="1:12" x14ac:dyDescent="0.25">
      <c r="A149" s="132">
        <v>104</v>
      </c>
      <c r="B149" s="101">
        <f t="shared" si="23"/>
        <v>11882801.692492522</v>
      </c>
      <c r="C149" s="79">
        <f t="shared" si="20"/>
        <v>736254.31135379185</v>
      </c>
      <c r="D149" s="45">
        <f t="shared" si="16"/>
        <v>69316.34320620638</v>
      </c>
      <c r="E149" s="45">
        <f t="shared" si="21"/>
        <v>666937.96814758552</v>
      </c>
      <c r="F149" s="103">
        <f t="shared" si="15"/>
        <v>6.0000000000000039E-2</v>
      </c>
      <c r="G149" s="104">
        <f t="shared" si="22"/>
        <v>5.1430128318229462E-3</v>
      </c>
      <c r="H149" s="102">
        <f t="shared" si="24"/>
        <v>57683.33105428351</v>
      </c>
      <c r="I149" s="105">
        <f t="shared" si="25"/>
        <v>11158180.393290654</v>
      </c>
      <c r="J149" s="93">
        <f t="shared" si="26"/>
        <v>8.6666666666666661</v>
      </c>
      <c r="K149" s="250"/>
      <c r="L149" s="253"/>
    </row>
    <row r="150" spans="1:12" x14ac:dyDescent="0.25">
      <c r="A150" s="132">
        <v>105</v>
      </c>
      <c r="B150" s="101">
        <f t="shared" si="23"/>
        <v>11158180.393290654</v>
      </c>
      <c r="C150" s="79">
        <f t="shared" si="20"/>
        <v>732467.74598301435</v>
      </c>
      <c r="D150" s="45">
        <f t="shared" si="16"/>
        <v>65089.38562752882</v>
      </c>
      <c r="E150" s="45">
        <f t="shared" si="21"/>
        <v>667378.36035548558</v>
      </c>
      <c r="F150" s="103">
        <f t="shared" si="15"/>
        <v>6.0000000000000039E-2</v>
      </c>
      <c r="G150" s="104">
        <f t="shared" si="22"/>
        <v>5.1430128318229462E-3</v>
      </c>
      <c r="H150" s="102">
        <f t="shared" si="24"/>
        <v>53954.329471499819</v>
      </c>
      <c r="I150" s="105">
        <f t="shared" si="25"/>
        <v>10436847.703463668</v>
      </c>
      <c r="J150" s="93">
        <f t="shared" si="26"/>
        <v>8.75</v>
      </c>
      <c r="K150" s="250"/>
      <c r="L150" s="253"/>
    </row>
    <row r="151" spans="1:12" x14ac:dyDescent="0.25">
      <c r="A151" s="132">
        <v>106</v>
      </c>
      <c r="B151" s="101">
        <f t="shared" si="23"/>
        <v>10436847.703463668</v>
      </c>
      <c r="C151" s="79">
        <f t="shared" si="20"/>
        <v>728700.65496652736</v>
      </c>
      <c r="D151" s="45">
        <f t="shared" si="16"/>
        <v>60881.611603538069</v>
      </c>
      <c r="E151" s="45">
        <f t="shared" si="21"/>
        <v>667819.04336298932</v>
      </c>
      <c r="F151" s="103">
        <f t="shared" si="15"/>
        <v>6.0000000000000039E-2</v>
      </c>
      <c r="G151" s="104">
        <f t="shared" si="22"/>
        <v>5.1430128318229462E-3</v>
      </c>
      <c r="H151" s="102">
        <f t="shared" si="24"/>
        <v>50242.239753343907</v>
      </c>
      <c r="I151" s="105">
        <f t="shared" si="25"/>
        <v>9718786.4203473348</v>
      </c>
      <c r="J151" s="93">
        <f t="shared" si="26"/>
        <v>8.8333333333333339</v>
      </c>
      <c r="K151" s="250"/>
      <c r="L151" s="253"/>
    </row>
    <row r="152" spans="1:12" x14ac:dyDescent="0.25">
      <c r="A152" s="132">
        <v>107</v>
      </c>
      <c r="B152" s="101">
        <f t="shared" si="23"/>
        <v>9718786.4203473348</v>
      </c>
      <c r="C152" s="79">
        <f t="shared" si="20"/>
        <v>724952.93814747676</v>
      </c>
      <c r="D152" s="45">
        <f t="shared" si="16"/>
        <v>56692.920785359456</v>
      </c>
      <c r="E152" s="45">
        <f t="shared" si="21"/>
        <v>668260.0173621173</v>
      </c>
      <c r="F152" s="103">
        <f t="shared" si="15"/>
        <v>6.0000000000000039E-2</v>
      </c>
      <c r="G152" s="104">
        <f t="shared" si="22"/>
        <v>5.1430128318229462E-3</v>
      </c>
      <c r="H152" s="102">
        <f t="shared" si="24"/>
        <v>46546.973425305347</v>
      </c>
      <c r="I152" s="105">
        <f t="shared" si="25"/>
        <v>9003979.4295599125</v>
      </c>
      <c r="J152" s="93">
        <f t="shared" si="26"/>
        <v>8.9166666666666661</v>
      </c>
      <c r="K152" s="250"/>
      <c r="L152" s="253"/>
    </row>
    <row r="153" spans="1:12" ht="13.8" thickBot="1" x14ac:dyDescent="0.3">
      <c r="A153" s="132">
        <v>108</v>
      </c>
      <c r="B153" s="101">
        <f t="shared" si="23"/>
        <v>9003979.4295599125</v>
      </c>
      <c r="C153" s="79">
        <f t="shared" si="20"/>
        <v>721224.49588411651</v>
      </c>
      <c r="D153" s="45">
        <f t="shared" si="16"/>
        <v>52523.213339099493</v>
      </c>
      <c r="E153" s="45">
        <f t="shared" si="21"/>
        <v>668701.28254501696</v>
      </c>
      <c r="F153" s="103">
        <f t="shared" si="15"/>
        <v>6.0000000000000039E-2</v>
      </c>
      <c r="G153" s="104">
        <f t="shared" si="22"/>
        <v>5.1430128318229462E-3</v>
      </c>
      <c r="H153" s="102">
        <f t="shared" si="24"/>
        <v>42868.442466910994</v>
      </c>
      <c r="I153" s="105">
        <f t="shared" si="25"/>
        <v>8292409.7045479845</v>
      </c>
      <c r="J153" s="129">
        <f t="shared" si="26"/>
        <v>9</v>
      </c>
      <c r="K153" s="251"/>
      <c r="L153" s="254"/>
    </row>
    <row r="154" spans="1:12" x14ac:dyDescent="0.25">
      <c r="A154" s="132">
        <v>109</v>
      </c>
      <c r="B154" s="101">
        <f t="shared" si="23"/>
        <v>8292409.7045479845</v>
      </c>
      <c r="C154" s="79">
        <f t="shared" si="20"/>
        <v>717515.22904715955</v>
      </c>
      <c r="D154" s="45">
        <f t="shared" si="16"/>
        <v>48372.389943196576</v>
      </c>
      <c r="E154" s="45">
        <f t="shared" si="21"/>
        <v>669142.83910396299</v>
      </c>
      <c r="F154" s="103">
        <f t="shared" si="15"/>
        <v>6.0000000000000039E-2</v>
      </c>
      <c r="G154" s="104">
        <f t="shared" si="22"/>
        <v>5.1430128318229462E-3</v>
      </c>
      <c r="H154" s="102">
        <f t="shared" si="24"/>
        <v>39206.559309389289</v>
      </c>
      <c r="I154" s="105">
        <f t="shared" si="25"/>
        <v>7584060.3061346319</v>
      </c>
      <c r="J154" s="92">
        <f t="shared" si="26"/>
        <v>9.0833333333333339</v>
      </c>
      <c r="K154" s="249">
        <f>+SUM(D154:D165)</f>
        <v>311817.27028818463</v>
      </c>
      <c r="L154" s="252">
        <f>+SUM(E154:E165)+SUM(H154:H165)</f>
        <v>8292409.7045479845</v>
      </c>
    </row>
    <row r="155" spans="1:12" x14ac:dyDescent="0.25">
      <c r="A155" s="132">
        <v>110</v>
      </c>
      <c r="B155" s="101">
        <f t="shared" si="23"/>
        <v>7584060.3061346319</v>
      </c>
      <c r="C155" s="79">
        <f t="shared" si="20"/>
        <v>713825.03901714156</v>
      </c>
      <c r="D155" s="45">
        <f t="shared" si="16"/>
        <v>44240.351785785351</v>
      </c>
      <c r="E155" s="45">
        <f t="shared" si="21"/>
        <v>669584.68723135616</v>
      </c>
      <c r="F155" s="103">
        <f t="shared" si="15"/>
        <v>6.0000000000000039E-2</v>
      </c>
      <c r="G155" s="104">
        <f t="shared" si="22"/>
        <v>5.1430128318229462E-3</v>
      </c>
      <c r="H155" s="102">
        <f t="shared" si="24"/>
        <v>35561.236833346455</v>
      </c>
      <c r="I155" s="105">
        <f t="shared" si="25"/>
        <v>6878914.3820699295</v>
      </c>
      <c r="J155" s="93">
        <f t="shared" si="26"/>
        <v>9.1666666666666661</v>
      </c>
      <c r="K155" s="250"/>
      <c r="L155" s="253"/>
    </row>
    <row r="156" spans="1:12" x14ac:dyDescent="0.25">
      <c r="A156" s="132">
        <v>111</v>
      </c>
      <c r="B156" s="101">
        <f t="shared" si="23"/>
        <v>6878914.3820699295</v>
      </c>
      <c r="C156" s="79">
        <f t="shared" si="20"/>
        <v>710153.82768179988</v>
      </c>
      <c r="D156" s="45">
        <f t="shared" si="16"/>
        <v>40127.000562074594</v>
      </c>
      <c r="E156" s="45">
        <f t="shared" si="21"/>
        <v>670026.82711972529</v>
      </c>
      <c r="F156" s="103">
        <f t="shared" si="15"/>
        <v>6.0000000000000039E-2</v>
      </c>
      <c r="G156" s="104">
        <f t="shared" si="22"/>
        <v>5.1430128318229462E-3</v>
      </c>
      <c r="H156" s="102">
        <f t="shared" si="24"/>
        <v>31932.388366454696</v>
      </c>
      <c r="I156" s="105">
        <f t="shared" si="25"/>
        <v>6176955.1665837504</v>
      </c>
      <c r="J156" s="93">
        <f t="shared" si="26"/>
        <v>9.25</v>
      </c>
      <c r="K156" s="250"/>
      <c r="L156" s="253"/>
    </row>
    <row r="157" spans="1:12" x14ac:dyDescent="0.25">
      <c r="A157" s="132">
        <v>112</v>
      </c>
      <c r="B157" s="101">
        <f t="shared" si="23"/>
        <v>6176955.1665837504</v>
      </c>
      <c r="C157" s="79">
        <f t="shared" si="20"/>
        <v>706501.49743346428</v>
      </c>
      <c r="D157" s="45">
        <f t="shared" si="16"/>
        <v>36032.238471738543</v>
      </c>
      <c r="E157" s="45">
        <f t="shared" si="21"/>
        <v>670469.25896172575</v>
      </c>
      <c r="F157" s="103">
        <f t="shared" si="15"/>
        <v>6.0000000000000039E-2</v>
      </c>
      <c r="G157" s="104">
        <f t="shared" si="22"/>
        <v>5.1430128318229462E-3</v>
      </c>
      <c r="H157" s="102">
        <f t="shared" si="24"/>
        <v>28319.927681152294</v>
      </c>
      <c r="I157" s="105">
        <f t="shared" si="25"/>
        <v>5478165.9799408717</v>
      </c>
      <c r="J157" s="93">
        <f t="shared" si="26"/>
        <v>9.3333333333333339</v>
      </c>
      <c r="K157" s="250"/>
      <c r="L157" s="253"/>
    </row>
    <row r="158" spans="1:12" x14ac:dyDescent="0.25">
      <c r="A158" s="132">
        <v>113</v>
      </c>
      <c r="B158" s="101">
        <f t="shared" si="23"/>
        <v>5478165.9799408717</v>
      </c>
      <c r="C158" s="79">
        <f t="shared" si="20"/>
        <v>702867.95116646192</v>
      </c>
      <c r="D158" s="45">
        <f t="shared" si="16"/>
        <v>31955.968216321755</v>
      </c>
      <c r="E158" s="45">
        <f t="shared" si="21"/>
        <v>670911.98295014014</v>
      </c>
      <c r="F158" s="103">
        <f t="shared" si="15"/>
        <v>6.0000000000000039E-2</v>
      </c>
      <c r="G158" s="104">
        <f t="shared" si="22"/>
        <v>5.1430128318229462E-3</v>
      </c>
      <c r="H158" s="102">
        <f t="shared" si="24"/>
        <v>24723.768992355483</v>
      </c>
      <c r="I158" s="105">
        <f t="shared" si="25"/>
        <v>4782530.2279983768</v>
      </c>
      <c r="J158" s="93">
        <f t="shared" si="26"/>
        <v>9.4166666666666661</v>
      </c>
      <c r="K158" s="250"/>
      <c r="L158" s="253"/>
    </row>
    <row r="159" spans="1:12" x14ac:dyDescent="0.25">
      <c r="A159" s="132">
        <v>114</v>
      </c>
      <c r="B159" s="101">
        <f t="shared" si="23"/>
        <v>4782530.2279983768</v>
      </c>
      <c r="C159" s="79">
        <f t="shared" si="20"/>
        <v>699253.0922745358</v>
      </c>
      <c r="D159" s="45">
        <f t="shared" si="16"/>
        <v>27898.0929966572</v>
      </c>
      <c r="E159" s="45">
        <f t="shared" si="21"/>
        <v>671354.99927787855</v>
      </c>
      <c r="F159" s="103">
        <f t="shared" si="15"/>
        <v>6.0000000000000039E-2</v>
      </c>
      <c r="G159" s="104">
        <f t="shared" si="22"/>
        <v>5.1430128318229462E-3</v>
      </c>
      <c r="H159" s="102">
        <f t="shared" si="24"/>
        <v>21143.826955182158</v>
      </c>
      <c r="I159" s="105">
        <f t="shared" si="25"/>
        <v>4090031.4017653158</v>
      </c>
      <c r="J159" s="93">
        <f t="shared" si="26"/>
        <v>9.5</v>
      </c>
      <c r="K159" s="250"/>
      <c r="L159" s="253"/>
    </row>
    <row r="160" spans="1:12" x14ac:dyDescent="0.25">
      <c r="A160" s="132">
        <v>115</v>
      </c>
      <c r="B160" s="101">
        <f t="shared" si="23"/>
        <v>4090031.4017653158</v>
      </c>
      <c r="C160" s="79">
        <f t="shared" si="20"/>
        <v>695656.82464827585</v>
      </c>
      <c r="D160" s="45">
        <f t="shared" si="16"/>
        <v>23858.516510297675</v>
      </c>
      <c r="E160" s="45">
        <f t="shared" si="21"/>
        <v>671798.30813797819</v>
      </c>
      <c r="F160" s="103">
        <f t="shared" si="15"/>
        <v>6.0000000000000039E-2</v>
      </c>
      <c r="G160" s="104">
        <f t="shared" si="22"/>
        <v>5.1430128318229462E-3</v>
      </c>
      <c r="H160" s="102">
        <f t="shared" si="24"/>
        <v>17580.016662687241</v>
      </c>
      <c r="I160" s="105">
        <f t="shared" si="25"/>
        <v>3400653.0769646503</v>
      </c>
      <c r="J160" s="93">
        <f t="shared" si="26"/>
        <v>9.5833333333333339</v>
      </c>
      <c r="K160" s="250"/>
      <c r="L160" s="253"/>
    </row>
    <row r="161" spans="1:12" x14ac:dyDescent="0.25">
      <c r="A161" s="132">
        <v>116</v>
      </c>
      <c r="B161" s="101">
        <f t="shared" si="23"/>
        <v>3400653.0769646503</v>
      </c>
      <c r="C161" s="79">
        <f t="shared" si="20"/>
        <v>692079.05267256463</v>
      </c>
      <c r="D161" s="45">
        <f t="shared" si="16"/>
        <v>19837.14294896046</v>
      </c>
      <c r="E161" s="45">
        <f t="shared" si="21"/>
        <v>672241.90972360421</v>
      </c>
      <c r="F161" s="103">
        <f t="shared" si="15"/>
        <v>6.0000000000000039E-2</v>
      </c>
      <c r="G161" s="104">
        <f t="shared" si="22"/>
        <v>5.1430128318229462E-3</v>
      </c>
      <c r="H161" s="102">
        <f t="shared" si="24"/>
        <v>14032.253643609723</v>
      </c>
      <c r="I161" s="105">
        <f t="shared" si="25"/>
        <v>2714378.9135974366</v>
      </c>
      <c r="J161" s="93">
        <f t="shared" si="26"/>
        <v>9.6666666666666661</v>
      </c>
      <c r="K161" s="250"/>
      <c r="L161" s="253"/>
    </row>
    <row r="162" spans="1:12" x14ac:dyDescent="0.25">
      <c r="A162" s="132">
        <v>117</v>
      </c>
      <c r="B162" s="101">
        <f t="shared" si="23"/>
        <v>2714378.9135974366</v>
      </c>
      <c r="C162" s="79">
        <f t="shared" si="20"/>
        <v>688519.6812240337</v>
      </c>
      <c r="D162" s="45">
        <f t="shared" si="16"/>
        <v>15833.876995985047</v>
      </c>
      <c r="E162" s="45">
        <f t="shared" si="21"/>
        <v>672685.80422804866</v>
      </c>
      <c r="F162" s="103">
        <f t="shared" si="15"/>
        <v>6.0000000000000039E-2</v>
      </c>
      <c r="G162" s="104">
        <f t="shared" si="22"/>
        <v>5.1430128318229462E-3</v>
      </c>
      <c r="H162" s="102">
        <f t="shared" si="24"/>
        <v>10500.453860131252</v>
      </c>
      <c r="I162" s="105">
        <f t="shared" si="25"/>
        <v>2031192.6555092568</v>
      </c>
      <c r="J162" s="93">
        <f t="shared" si="26"/>
        <v>9.75</v>
      </c>
      <c r="K162" s="250"/>
      <c r="L162" s="253"/>
    </row>
    <row r="163" spans="1:12" x14ac:dyDescent="0.25">
      <c r="A163" s="132">
        <v>118</v>
      </c>
      <c r="B163" s="101">
        <f t="shared" si="23"/>
        <v>2031192.6555092568</v>
      </c>
      <c r="C163" s="79">
        <f t="shared" si="20"/>
        <v>684978.61566853593</v>
      </c>
      <c r="D163" s="45">
        <f t="shared" si="16"/>
        <v>11848.623823803999</v>
      </c>
      <c r="E163" s="45">
        <f t="shared" si="21"/>
        <v>673129.99184473197</v>
      </c>
      <c r="F163" s="103">
        <f t="shared" si="15"/>
        <v>6.0000000000000039E-2</v>
      </c>
      <c r="G163" s="104">
        <f t="shared" si="22"/>
        <v>5.1430128318229462E-3</v>
      </c>
      <c r="H163" s="102">
        <f t="shared" si="24"/>
        <v>6984.5337056463013</v>
      </c>
      <c r="I163" s="105">
        <f t="shared" si="25"/>
        <v>1351078.1299588783</v>
      </c>
      <c r="J163" s="93">
        <f t="shared" si="26"/>
        <v>9.8333333333333339</v>
      </c>
      <c r="K163" s="250"/>
      <c r="L163" s="253"/>
    </row>
    <row r="164" spans="1:12" x14ac:dyDescent="0.25">
      <c r="A164" s="132">
        <v>119</v>
      </c>
      <c r="B164" s="101">
        <f t="shared" si="23"/>
        <v>1351078.1299588783</v>
      </c>
      <c r="C164" s="79">
        <f t="shared" si="20"/>
        <v>681455.76185862825</v>
      </c>
      <c r="D164" s="45">
        <f t="shared" si="16"/>
        <v>7881.28909142679</v>
      </c>
      <c r="E164" s="45">
        <f t="shared" si="21"/>
        <v>673574.47276720149</v>
      </c>
      <c r="F164" s="103">
        <f t="shared" si="15"/>
        <v>6.0000000000000039E-2</v>
      </c>
      <c r="G164" s="104">
        <f t="shared" si="22"/>
        <v>5.1430128318229462E-3</v>
      </c>
      <c r="H164" s="102">
        <f t="shared" si="24"/>
        <v>3484.4100025437683</v>
      </c>
      <c r="I164" s="105">
        <f t="shared" si="25"/>
        <v>674019.24718913296</v>
      </c>
      <c r="J164" s="93">
        <f t="shared" si="26"/>
        <v>9.9166666666666661</v>
      </c>
      <c r="K164" s="250"/>
      <c r="L164" s="253"/>
    </row>
    <row r="165" spans="1:12" ht="13.8" thickBot="1" x14ac:dyDescent="0.3">
      <c r="A165" s="133">
        <v>120</v>
      </c>
      <c r="B165" s="107">
        <f t="shared" si="23"/>
        <v>674019.24718913296</v>
      </c>
      <c r="C165" s="107">
        <f t="shared" si="20"/>
        <v>677951.02613106952</v>
      </c>
      <c r="D165" s="107">
        <f t="shared" si="16"/>
        <v>3931.778941936609</v>
      </c>
      <c r="E165" s="107">
        <f t="shared" si="21"/>
        <v>674019.24718913296</v>
      </c>
      <c r="F165" s="109">
        <f t="shared" si="15"/>
        <v>6.0000000000000039E-2</v>
      </c>
      <c r="G165" s="110">
        <f t="shared" si="22"/>
        <v>5.1430128318229462E-3</v>
      </c>
      <c r="H165" s="108">
        <f t="shared" si="24"/>
        <v>0</v>
      </c>
      <c r="I165" s="111">
        <f t="shared" si="25"/>
        <v>0</v>
      </c>
      <c r="J165" s="129">
        <f t="shared" si="26"/>
        <v>10</v>
      </c>
      <c r="K165" s="251"/>
      <c r="L165" s="254"/>
    </row>
    <row r="166" spans="1:12" x14ac:dyDescent="0.25">
      <c r="J166" s="25"/>
      <c r="K166" s="25"/>
    </row>
    <row r="167" spans="1:12" x14ac:dyDescent="0.25">
      <c r="J167" s="25"/>
      <c r="K167" s="25"/>
    </row>
    <row r="168" spans="1:12" x14ac:dyDescent="0.25">
      <c r="J168" s="25"/>
      <c r="K168" s="25"/>
    </row>
    <row r="169" spans="1:12" x14ac:dyDescent="0.25">
      <c r="J169" s="25"/>
      <c r="K169" s="25"/>
    </row>
    <row r="170" spans="1:12" x14ac:dyDescent="0.25">
      <c r="J170" s="25"/>
      <c r="K170" s="25"/>
    </row>
    <row r="171" spans="1:12" x14ac:dyDescent="0.25">
      <c r="J171" s="25"/>
      <c r="K171" s="25"/>
    </row>
    <row r="172" spans="1:12" x14ac:dyDescent="0.25">
      <c r="J172" s="25"/>
      <c r="K172" s="25"/>
    </row>
    <row r="173" spans="1:12" x14ac:dyDescent="0.25">
      <c r="J173" s="25"/>
      <c r="K173" s="25"/>
    </row>
  </sheetData>
  <mergeCells count="31">
    <mergeCell ref="A44:I44"/>
    <mergeCell ref="K44:L44"/>
    <mergeCell ref="J43:L43"/>
    <mergeCell ref="K49:K51"/>
    <mergeCell ref="L49:L51"/>
    <mergeCell ref="K47:K48"/>
    <mergeCell ref="L47:L48"/>
    <mergeCell ref="K52:K54"/>
    <mergeCell ref="L52:L54"/>
    <mergeCell ref="K55:K57"/>
    <mergeCell ref="L55:L57"/>
    <mergeCell ref="K58:K63"/>
    <mergeCell ref="L58:L63"/>
    <mergeCell ref="K64:K69"/>
    <mergeCell ref="L64:L69"/>
    <mergeCell ref="K70:K81"/>
    <mergeCell ref="L70:L81"/>
    <mergeCell ref="K82:K93"/>
    <mergeCell ref="L82:L93"/>
    <mergeCell ref="K94:K105"/>
    <mergeCell ref="L94:L105"/>
    <mergeCell ref="K106:K117"/>
    <mergeCell ref="L106:L117"/>
    <mergeCell ref="K118:K129"/>
    <mergeCell ref="L118:L129"/>
    <mergeCell ref="K130:K141"/>
    <mergeCell ref="L130:L141"/>
    <mergeCell ref="K142:K153"/>
    <mergeCell ref="L142:L153"/>
    <mergeCell ref="K154:K165"/>
    <mergeCell ref="L154:L16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21"/>
  <sheetViews>
    <sheetView zoomScale="85" zoomScaleNormal="85" workbookViewId="0"/>
  </sheetViews>
  <sheetFormatPr defaultRowHeight="13.2" x14ac:dyDescent="0.25"/>
  <cols>
    <col min="1" max="1" width="19.88671875" bestFit="1" customWidth="1"/>
    <col min="2" max="2" width="22.44140625" customWidth="1"/>
    <col min="3" max="3" width="17.33203125" bestFit="1" customWidth="1"/>
    <col min="4" max="4" width="13.88671875" customWidth="1"/>
    <col min="5" max="7" width="15.33203125" customWidth="1"/>
    <col min="8" max="8" width="18.109375" customWidth="1"/>
    <col min="9" max="9" width="23" customWidth="1"/>
    <col min="10" max="10" width="34.6640625" customWidth="1"/>
    <col min="11" max="11" width="7.6640625" customWidth="1"/>
    <col min="12" max="12" width="23.5546875" customWidth="1"/>
    <col min="13" max="14" width="15.44140625" customWidth="1"/>
    <col min="15" max="15" width="14.88671875" customWidth="1"/>
    <col min="16" max="16" width="10.33203125" bestFit="1" customWidth="1"/>
  </cols>
  <sheetData>
    <row r="1" spans="1:10" ht="201" customHeight="1" thickBot="1" x14ac:dyDescent="0.3"/>
    <row r="2" spans="1:10" ht="51.75" customHeight="1" thickTop="1" thickBot="1" x14ac:dyDescent="0.3">
      <c r="A2" s="28" t="s">
        <v>16</v>
      </c>
      <c r="B2" s="28" t="s">
        <v>15</v>
      </c>
      <c r="C2" s="28" t="s">
        <v>14</v>
      </c>
      <c r="D2" s="15" t="s">
        <v>13</v>
      </c>
      <c r="E2" s="15" t="s">
        <v>12</v>
      </c>
      <c r="F2" s="192" t="s">
        <v>131</v>
      </c>
      <c r="G2" s="192" t="s">
        <v>132</v>
      </c>
      <c r="H2" s="147" t="s">
        <v>139</v>
      </c>
      <c r="I2" s="15" t="s">
        <v>11</v>
      </c>
      <c r="J2" s="15" t="s">
        <v>10</v>
      </c>
    </row>
    <row r="3" spans="1:10" ht="14.4" thickTop="1" thickBot="1" x14ac:dyDescent="0.3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 t="s">
        <v>138</v>
      </c>
      <c r="G3" s="15" t="s">
        <v>137</v>
      </c>
      <c r="H3" s="15">
        <v>8</v>
      </c>
      <c r="I3" s="15">
        <v>9</v>
      </c>
      <c r="J3" s="15">
        <v>10</v>
      </c>
    </row>
    <row r="4" spans="1:10" ht="14.4" thickTop="1" thickBot="1" x14ac:dyDescent="0.3">
      <c r="A4" s="15" t="s">
        <v>9</v>
      </c>
      <c r="B4" s="15" t="s">
        <v>8</v>
      </c>
      <c r="C4" s="15" t="s">
        <v>7</v>
      </c>
      <c r="D4" s="15" t="s">
        <v>6</v>
      </c>
      <c r="E4" s="15" t="s">
        <v>5</v>
      </c>
      <c r="F4" s="15" t="s">
        <v>4</v>
      </c>
      <c r="G4" s="15" t="s">
        <v>3</v>
      </c>
      <c r="H4" s="15" t="s">
        <v>2</v>
      </c>
      <c r="I4" s="15" t="s">
        <v>133</v>
      </c>
      <c r="J4" s="15" t="s">
        <v>134</v>
      </c>
    </row>
    <row r="5" spans="1:10" ht="13.8" thickTop="1" x14ac:dyDescent="0.25">
      <c r="A5" s="166" t="s">
        <v>33</v>
      </c>
      <c r="B5" s="17" t="s">
        <v>66</v>
      </c>
      <c r="C5" s="17" t="s">
        <v>67</v>
      </c>
      <c r="D5" s="17" t="s">
        <v>53</v>
      </c>
      <c r="E5" s="18" t="s">
        <v>68</v>
      </c>
      <c r="F5" s="217" t="s">
        <v>145</v>
      </c>
      <c r="G5" s="200">
        <v>0.01</v>
      </c>
      <c r="H5" s="200">
        <v>-8.25</v>
      </c>
      <c r="I5" s="218">
        <f>-9722222.22222222-50000000</f>
        <v>-59722222.222222224</v>
      </c>
      <c r="J5" s="219">
        <v>0</v>
      </c>
    </row>
    <row r="6" spans="1:10" x14ac:dyDescent="0.25">
      <c r="A6" s="168" t="s">
        <v>33</v>
      </c>
      <c r="B6" s="20" t="s">
        <v>66</v>
      </c>
      <c r="C6" s="22" t="s">
        <v>67</v>
      </c>
      <c r="D6" s="20" t="s">
        <v>53</v>
      </c>
      <c r="E6" s="22" t="s">
        <v>55</v>
      </c>
      <c r="F6" s="220" t="s">
        <v>145</v>
      </c>
      <c r="G6" s="202">
        <v>0.01</v>
      </c>
      <c r="H6" s="203">
        <v>-8.25</v>
      </c>
      <c r="I6" s="227">
        <v>-13888888.888888888</v>
      </c>
      <c r="J6" s="222">
        <v>0</v>
      </c>
    </row>
    <row r="7" spans="1:10" x14ac:dyDescent="0.25">
      <c r="A7" s="168" t="s">
        <v>33</v>
      </c>
      <c r="B7" s="20" t="s">
        <v>66</v>
      </c>
      <c r="C7" s="22" t="s">
        <v>67</v>
      </c>
      <c r="D7" s="20" t="s">
        <v>53</v>
      </c>
      <c r="E7" s="22" t="s">
        <v>56</v>
      </c>
      <c r="F7" s="220" t="s">
        <v>145</v>
      </c>
      <c r="G7" s="202">
        <v>0.01</v>
      </c>
      <c r="H7" s="203">
        <v>-8.25</v>
      </c>
      <c r="I7" s="227">
        <v>-15277777.777777774</v>
      </c>
      <c r="J7" s="222">
        <v>0</v>
      </c>
    </row>
    <row r="8" spans="1:10" x14ac:dyDescent="0.25">
      <c r="A8" s="168" t="s">
        <v>33</v>
      </c>
      <c r="B8" s="20" t="s">
        <v>66</v>
      </c>
      <c r="C8" s="22" t="s">
        <v>67</v>
      </c>
      <c r="D8" s="20" t="s">
        <v>53</v>
      </c>
      <c r="E8" s="22" t="s">
        <v>57</v>
      </c>
      <c r="F8" s="220" t="s">
        <v>145</v>
      </c>
      <c r="G8" s="202">
        <v>0.01</v>
      </c>
      <c r="H8" s="203">
        <v>-8.25</v>
      </c>
      <c r="I8" s="228">
        <v>-11111111.11111111</v>
      </c>
      <c r="J8" s="222">
        <v>0</v>
      </c>
    </row>
    <row r="9" spans="1:10" x14ac:dyDescent="0.25">
      <c r="A9" s="168" t="s">
        <v>33</v>
      </c>
      <c r="B9" s="20" t="s">
        <v>66</v>
      </c>
      <c r="C9" s="22" t="s">
        <v>67</v>
      </c>
      <c r="D9" s="20" t="s">
        <v>53</v>
      </c>
      <c r="E9" s="22" t="s">
        <v>58</v>
      </c>
      <c r="F9" s="220" t="s">
        <v>145</v>
      </c>
      <c r="G9" s="202">
        <v>0.01</v>
      </c>
      <c r="H9" s="203">
        <v>-8.25</v>
      </c>
      <c r="I9" s="228">
        <v>-11111111.11111111</v>
      </c>
      <c r="J9" s="222">
        <v>0</v>
      </c>
    </row>
    <row r="10" spans="1:10" x14ac:dyDescent="0.25">
      <c r="A10" s="168" t="s">
        <v>33</v>
      </c>
      <c r="B10" s="20" t="s">
        <v>66</v>
      </c>
      <c r="C10" s="22" t="s">
        <v>67</v>
      </c>
      <c r="D10" s="20" t="s">
        <v>53</v>
      </c>
      <c r="E10" s="22" t="s">
        <v>59</v>
      </c>
      <c r="F10" s="220" t="s">
        <v>145</v>
      </c>
      <c r="G10" s="202">
        <v>0.01</v>
      </c>
      <c r="H10" s="203">
        <v>-8.25</v>
      </c>
      <c r="I10" s="228">
        <v>-13888888.888888884</v>
      </c>
      <c r="J10" s="222">
        <v>0</v>
      </c>
    </row>
    <row r="11" spans="1:10" x14ac:dyDescent="0.25">
      <c r="A11" s="168" t="s">
        <v>33</v>
      </c>
      <c r="B11" s="20" t="s">
        <v>66</v>
      </c>
      <c r="C11" s="22" t="s">
        <v>67</v>
      </c>
      <c r="D11" s="20" t="s">
        <v>53</v>
      </c>
      <c r="E11" s="22" t="s">
        <v>60</v>
      </c>
      <c r="F11" s="220" t="s">
        <v>145</v>
      </c>
      <c r="G11" s="202">
        <v>0.01</v>
      </c>
      <c r="H11" s="203">
        <v>-8.25</v>
      </c>
      <c r="I11" s="228">
        <v>-13888888.888888884</v>
      </c>
      <c r="J11" s="222">
        <v>0</v>
      </c>
    </row>
    <row r="12" spans="1:10" x14ac:dyDescent="0.25">
      <c r="A12" s="168" t="s">
        <v>33</v>
      </c>
      <c r="B12" s="20" t="s">
        <v>66</v>
      </c>
      <c r="C12" s="20" t="s">
        <v>67</v>
      </c>
      <c r="D12" s="20" t="s">
        <v>53</v>
      </c>
      <c r="E12" s="22" t="s">
        <v>61</v>
      </c>
      <c r="F12" s="220" t="s">
        <v>145</v>
      </c>
      <c r="G12" s="202">
        <v>0.01</v>
      </c>
      <c r="H12" s="203">
        <v>-8.25</v>
      </c>
      <c r="I12" s="228">
        <v>-11111111.111111106</v>
      </c>
      <c r="J12" s="222">
        <v>0</v>
      </c>
    </row>
    <row r="13" spans="1:10" x14ac:dyDescent="0.25">
      <c r="A13" s="168" t="s">
        <v>33</v>
      </c>
      <c r="B13" s="20" t="s">
        <v>66</v>
      </c>
      <c r="C13" s="20" t="s">
        <v>67</v>
      </c>
      <c r="D13" s="22" t="s">
        <v>54</v>
      </c>
      <c r="E13" s="20" t="s">
        <v>68</v>
      </c>
      <c r="F13" s="220" t="s">
        <v>145</v>
      </c>
      <c r="G13" s="202">
        <v>0</v>
      </c>
      <c r="H13" s="202">
        <v>0</v>
      </c>
      <c r="I13" s="228">
        <v>-1250</v>
      </c>
      <c r="J13" s="222">
        <v>0</v>
      </c>
    </row>
    <row r="14" spans="1:10" x14ac:dyDescent="0.25">
      <c r="A14" s="168" t="s">
        <v>33</v>
      </c>
      <c r="B14" s="20" t="s">
        <v>66</v>
      </c>
      <c r="C14" s="20" t="s">
        <v>67</v>
      </c>
      <c r="D14" s="22" t="s">
        <v>54</v>
      </c>
      <c r="E14" s="22" t="s">
        <v>55</v>
      </c>
      <c r="F14" s="220" t="s">
        <v>145</v>
      </c>
      <c r="G14" s="202">
        <v>0</v>
      </c>
      <c r="H14" s="202">
        <v>0</v>
      </c>
      <c r="I14" s="228">
        <v>-2500</v>
      </c>
      <c r="J14" s="222">
        <v>0</v>
      </c>
    </row>
    <row r="15" spans="1:10" x14ac:dyDescent="0.25">
      <c r="A15" s="168" t="s">
        <v>33</v>
      </c>
      <c r="B15" s="20" t="s">
        <v>66</v>
      </c>
      <c r="C15" s="20" t="s">
        <v>67</v>
      </c>
      <c r="D15" s="22" t="s">
        <v>54</v>
      </c>
      <c r="E15" s="22" t="s">
        <v>56</v>
      </c>
      <c r="F15" s="220" t="s">
        <v>145</v>
      </c>
      <c r="G15" s="202">
        <v>0</v>
      </c>
      <c r="H15" s="202">
        <v>0</v>
      </c>
      <c r="I15" s="228">
        <v>-3750</v>
      </c>
      <c r="J15" s="222">
        <v>0</v>
      </c>
    </row>
    <row r="16" spans="1:10" x14ac:dyDescent="0.25">
      <c r="A16" s="168" t="s">
        <v>33</v>
      </c>
      <c r="B16" s="20" t="s">
        <v>66</v>
      </c>
      <c r="C16" s="20" t="s">
        <v>67</v>
      </c>
      <c r="D16" s="22" t="s">
        <v>54</v>
      </c>
      <c r="E16" s="22" t="s">
        <v>57</v>
      </c>
      <c r="F16" s="220" t="s">
        <v>145</v>
      </c>
      <c r="G16" s="202">
        <v>0</v>
      </c>
      <c r="H16" s="202">
        <v>0</v>
      </c>
      <c r="I16" s="228">
        <v>-3750</v>
      </c>
      <c r="J16" s="222">
        <v>0</v>
      </c>
    </row>
    <row r="17" spans="1:10" x14ac:dyDescent="0.25">
      <c r="A17" s="168" t="s">
        <v>33</v>
      </c>
      <c r="B17" s="20" t="s">
        <v>66</v>
      </c>
      <c r="C17" s="20" t="s">
        <v>67</v>
      </c>
      <c r="D17" s="22" t="s">
        <v>54</v>
      </c>
      <c r="E17" s="22" t="s">
        <v>58</v>
      </c>
      <c r="F17" s="220" t="s">
        <v>145</v>
      </c>
      <c r="G17" s="202">
        <v>0</v>
      </c>
      <c r="H17" s="202">
        <v>0</v>
      </c>
      <c r="I17" s="228">
        <v>-3750</v>
      </c>
      <c r="J17" s="222">
        <v>0</v>
      </c>
    </row>
    <row r="18" spans="1:10" x14ac:dyDescent="0.25">
      <c r="A18" s="168" t="s">
        <v>33</v>
      </c>
      <c r="B18" s="20" t="s">
        <v>66</v>
      </c>
      <c r="C18" s="20" t="s">
        <v>67</v>
      </c>
      <c r="D18" s="22" t="s">
        <v>54</v>
      </c>
      <c r="E18" s="22" t="s">
        <v>59</v>
      </c>
      <c r="F18" s="220" t="s">
        <v>145</v>
      </c>
      <c r="G18" s="202">
        <v>0</v>
      </c>
      <c r="H18" s="202">
        <v>0</v>
      </c>
      <c r="I18" s="228">
        <v>-7500</v>
      </c>
      <c r="J18" s="222">
        <v>0</v>
      </c>
    </row>
    <row r="19" spans="1:10" x14ac:dyDescent="0.25">
      <c r="A19" s="168" t="s">
        <v>33</v>
      </c>
      <c r="B19" s="20" t="s">
        <v>66</v>
      </c>
      <c r="C19" s="20" t="s">
        <v>67</v>
      </c>
      <c r="D19" s="22" t="s">
        <v>54</v>
      </c>
      <c r="E19" s="22" t="s">
        <v>60</v>
      </c>
      <c r="F19" s="220" t="s">
        <v>145</v>
      </c>
      <c r="G19" s="202">
        <v>0</v>
      </c>
      <c r="H19" s="202">
        <v>0</v>
      </c>
      <c r="I19" s="228">
        <v>-7500</v>
      </c>
      <c r="J19" s="222">
        <v>0</v>
      </c>
    </row>
    <row r="20" spans="1:10" s="23" customFormat="1" ht="13.8" thickBot="1" x14ac:dyDescent="0.3">
      <c r="A20" s="180" t="s">
        <v>33</v>
      </c>
      <c r="B20" s="190" t="s">
        <v>66</v>
      </c>
      <c r="C20" s="190" t="s">
        <v>67</v>
      </c>
      <c r="D20" s="190" t="s">
        <v>54</v>
      </c>
      <c r="E20" s="190" t="s">
        <v>61</v>
      </c>
      <c r="F20" s="190" t="s">
        <v>145</v>
      </c>
      <c r="G20" s="216">
        <v>0</v>
      </c>
      <c r="H20" s="216">
        <v>0</v>
      </c>
      <c r="I20" s="223">
        <v>-15000</v>
      </c>
      <c r="J20" s="224">
        <v>0</v>
      </c>
    </row>
    <row r="21" spans="1:10" ht="13.8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J26"/>
  <sheetViews>
    <sheetView zoomScale="85" zoomScaleNormal="85" workbookViewId="0">
      <selection activeCell="F21" sqref="F21"/>
    </sheetView>
  </sheetViews>
  <sheetFormatPr defaultRowHeight="13.2" x14ac:dyDescent="0.25"/>
  <cols>
    <col min="1" max="1" width="14.109375" customWidth="1"/>
    <col min="2" max="2" width="16.109375" bestFit="1" customWidth="1"/>
    <col min="3" max="4" width="16.5546875" bestFit="1" customWidth="1"/>
    <col min="5" max="5" width="13.88671875" bestFit="1" customWidth="1"/>
    <col min="6" max="6" width="13.88671875" customWidth="1"/>
    <col min="7" max="8" width="15.21875" customWidth="1"/>
    <col min="9" max="10" width="25.44140625" customWidth="1"/>
    <col min="11" max="11" width="12.44140625" bestFit="1" customWidth="1"/>
  </cols>
  <sheetData>
    <row r="1" spans="1:10" ht="50.25" customHeight="1" thickBot="1" x14ac:dyDescent="0.3"/>
    <row r="2" spans="1:10" ht="40.799999999999997" thickTop="1" thickBot="1" x14ac:dyDescent="0.3">
      <c r="A2" s="15" t="s">
        <v>16</v>
      </c>
      <c r="B2" s="15" t="s">
        <v>15</v>
      </c>
      <c r="C2" s="15" t="s">
        <v>14</v>
      </c>
      <c r="D2" s="15" t="s">
        <v>13</v>
      </c>
      <c r="E2" s="15" t="s">
        <v>12</v>
      </c>
      <c r="F2" s="192" t="s">
        <v>131</v>
      </c>
      <c r="G2" s="192" t="s">
        <v>132</v>
      </c>
      <c r="H2" s="147" t="s">
        <v>139</v>
      </c>
      <c r="I2" s="15" t="s">
        <v>11</v>
      </c>
      <c r="J2" s="15" t="s">
        <v>10</v>
      </c>
    </row>
    <row r="3" spans="1:10" ht="14.4" thickTop="1" thickBot="1" x14ac:dyDescent="0.3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 t="s">
        <v>138</v>
      </c>
      <c r="G3" s="15" t="s">
        <v>137</v>
      </c>
      <c r="H3" s="15">
        <v>8</v>
      </c>
      <c r="I3" s="15">
        <v>9</v>
      </c>
      <c r="J3" s="15">
        <v>10</v>
      </c>
    </row>
    <row r="4" spans="1:10" ht="14.4" thickTop="1" thickBot="1" x14ac:dyDescent="0.3">
      <c r="A4" s="15" t="s">
        <v>9</v>
      </c>
      <c r="B4" s="15" t="s">
        <v>8</v>
      </c>
      <c r="C4" s="15" t="s">
        <v>7</v>
      </c>
      <c r="D4" s="15" t="s">
        <v>6</v>
      </c>
      <c r="E4" s="15" t="s">
        <v>5</v>
      </c>
      <c r="F4" s="15" t="s">
        <v>4</v>
      </c>
      <c r="G4" s="15" t="s">
        <v>3</v>
      </c>
      <c r="H4" s="15" t="s">
        <v>2</v>
      </c>
      <c r="I4" s="15" t="s">
        <v>133</v>
      </c>
      <c r="J4" s="15" t="s">
        <v>134</v>
      </c>
    </row>
    <row r="5" spans="1:10" ht="13.8" thickTop="1" x14ac:dyDescent="0.25">
      <c r="A5" s="166" t="s">
        <v>33</v>
      </c>
      <c r="B5" s="17" t="s">
        <v>76</v>
      </c>
      <c r="C5" s="17" t="s">
        <v>77</v>
      </c>
      <c r="D5" s="17" t="s">
        <v>54</v>
      </c>
      <c r="E5" s="18" t="s">
        <v>58</v>
      </c>
      <c r="F5" s="217" t="s">
        <v>146</v>
      </c>
      <c r="G5" s="200">
        <v>0</v>
      </c>
      <c r="H5" s="200">
        <v>0</v>
      </c>
      <c r="I5" s="206">
        <v>0</v>
      </c>
      <c r="J5" s="229">
        <f>-B21</f>
        <v>-2750000</v>
      </c>
    </row>
    <row r="6" spans="1:10" x14ac:dyDescent="0.25">
      <c r="A6" s="168" t="s">
        <v>33</v>
      </c>
      <c r="B6" s="20" t="s">
        <v>76</v>
      </c>
      <c r="C6" s="22" t="s">
        <v>77</v>
      </c>
      <c r="D6" s="20" t="s">
        <v>54</v>
      </c>
      <c r="E6" s="20" t="s">
        <v>60</v>
      </c>
      <c r="F6" s="220" t="s">
        <v>146</v>
      </c>
      <c r="G6" s="202">
        <v>0</v>
      </c>
      <c r="H6" s="203">
        <v>0</v>
      </c>
      <c r="I6" s="208">
        <v>0</v>
      </c>
      <c r="J6" s="210">
        <f>-B23</f>
        <v>-2750000</v>
      </c>
    </row>
    <row r="7" spans="1:10" x14ac:dyDescent="0.25">
      <c r="A7" s="168" t="s">
        <v>33</v>
      </c>
      <c r="B7" s="20" t="s">
        <v>76</v>
      </c>
      <c r="C7" s="22" t="s">
        <v>77</v>
      </c>
      <c r="D7" s="20" t="s">
        <v>54</v>
      </c>
      <c r="E7" s="22" t="s">
        <v>61</v>
      </c>
      <c r="F7" s="220" t="s">
        <v>146</v>
      </c>
      <c r="G7" s="202">
        <v>0</v>
      </c>
      <c r="H7" s="203">
        <v>0</v>
      </c>
      <c r="I7" s="208">
        <v>0</v>
      </c>
      <c r="J7" s="210">
        <f>-B25</f>
        <v>-2750000</v>
      </c>
    </row>
    <row r="8" spans="1:10" x14ac:dyDescent="0.25">
      <c r="A8" s="168" t="s">
        <v>33</v>
      </c>
      <c r="B8" s="20" t="s">
        <v>76</v>
      </c>
      <c r="C8" s="22" t="s">
        <v>77</v>
      </c>
      <c r="D8" s="22" t="s">
        <v>53</v>
      </c>
      <c r="E8" s="22" t="s">
        <v>61</v>
      </c>
      <c r="F8" s="220" t="s">
        <v>146</v>
      </c>
      <c r="G8" s="202">
        <v>0.55000000000000004</v>
      </c>
      <c r="H8" s="203">
        <v>0</v>
      </c>
      <c r="I8" s="208">
        <v>0</v>
      </c>
      <c r="J8" s="211">
        <f>+-B15</f>
        <v>-500000000</v>
      </c>
    </row>
    <row r="9" spans="1:10" x14ac:dyDescent="0.25">
      <c r="A9" s="168" t="s">
        <v>33</v>
      </c>
      <c r="B9" s="22" t="s">
        <v>78</v>
      </c>
      <c r="C9" s="22" t="s">
        <v>52</v>
      </c>
      <c r="D9" s="22" t="s">
        <v>53</v>
      </c>
      <c r="E9" s="22" t="s">
        <v>56</v>
      </c>
      <c r="F9" s="220" t="s">
        <v>147</v>
      </c>
      <c r="G9" s="202">
        <v>0.2</v>
      </c>
      <c r="H9" s="203">
        <v>0</v>
      </c>
      <c r="I9" s="208">
        <v>0</v>
      </c>
      <c r="J9" s="211">
        <f>+B15</f>
        <v>500000000</v>
      </c>
    </row>
    <row r="10" spans="1:10" ht="13.8" thickBot="1" x14ac:dyDescent="0.3">
      <c r="A10" s="180" t="s">
        <v>33</v>
      </c>
      <c r="B10" s="60" t="s">
        <v>78</v>
      </c>
      <c r="C10" s="60" t="s">
        <v>52</v>
      </c>
      <c r="D10" s="60" t="s">
        <v>54</v>
      </c>
      <c r="E10" s="60" t="s">
        <v>56</v>
      </c>
      <c r="F10" s="190" t="s">
        <v>147</v>
      </c>
      <c r="G10" s="216">
        <v>0</v>
      </c>
      <c r="H10" s="216">
        <v>0</v>
      </c>
      <c r="I10" s="212">
        <v>0</v>
      </c>
      <c r="J10" s="230">
        <f>+C20</f>
        <v>500000</v>
      </c>
    </row>
    <row r="11" spans="1:10" ht="13.8" thickTop="1" x14ac:dyDescent="0.25"/>
    <row r="12" spans="1:10" x14ac:dyDescent="0.25">
      <c r="A12" s="41" t="s">
        <v>34</v>
      </c>
      <c r="B12" s="140" t="s">
        <v>123</v>
      </c>
      <c r="C12" s="54"/>
      <c r="D12" s="23"/>
      <c r="E12" s="23"/>
      <c r="F12" s="23"/>
      <c r="G12" s="23"/>
    </row>
    <row r="13" spans="1:10" x14ac:dyDescent="0.25">
      <c r="A13" s="41" t="s">
        <v>69</v>
      </c>
      <c r="B13" s="142">
        <v>5.4999999999999997E-3</v>
      </c>
      <c r="C13" s="54"/>
      <c r="D13" s="23"/>
      <c r="E13" s="23"/>
      <c r="F13" s="23"/>
      <c r="G13" s="23"/>
      <c r="H13" s="23"/>
      <c r="J13" s="23"/>
    </row>
    <row r="14" spans="1:10" x14ac:dyDescent="0.25">
      <c r="A14" s="41" t="s">
        <v>70</v>
      </c>
      <c r="B14" s="140" t="s">
        <v>73</v>
      </c>
      <c r="C14" s="54"/>
      <c r="D14" s="23"/>
      <c r="E14" s="23"/>
      <c r="F14" s="23"/>
      <c r="G14" s="23"/>
      <c r="H14" s="23"/>
    </row>
    <row r="15" spans="1:10" x14ac:dyDescent="0.25">
      <c r="A15" s="41" t="s">
        <v>87</v>
      </c>
      <c r="B15" s="114">
        <v>500000000</v>
      </c>
      <c r="C15" s="54"/>
      <c r="D15" s="23"/>
      <c r="E15" s="23"/>
      <c r="F15" s="23"/>
      <c r="G15" s="23"/>
    </row>
    <row r="16" spans="1:10" x14ac:dyDescent="0.25">
      <c r="A16" s="41" t="s">
        <v>79</v>
      </c>
      <c r="B16" s="114" t="s">
        <v>65</v>
      </c>
      <c r="C16" s="24"/>
      <c r="D16" s="27"/>
      <c r="E16" s="54"/>
      <c r="F16" s="54"/>
      <c r="G16" s="54"/>
      <c r="H16" s="23"/>
    </row>
    <row r="17" spans="1:4" x14ac:dyDescent="0.25">
      <c r="A17" s="41" t="s">
        <v>73</v>
      </c>
      <c r="B17" s="55">
        <v>2E-3</v>
      </c>
      <c r="C17" s="24"/>
    </row>
    <row r="18" spans="1:4" ht="13.8" thickBot="1" x14ac:dyDescent="0.3"/>
    <row r="19" spans="1:4" ht="13.8" thickBot="1" x14ac:dyDescent="0.3">
      <c r="A19" s="139" t="s">
        <v>86</v>
      </c>
      <c r="B19" s="137" t="s">
        <v>121</v>
      </c>
      <c r="C19" s="138" t="s">
        <v>122</v>
      </c>
      <c r="D19" s="23"/>
    </row>
    <row r="20" spans="1:4" x14ac:dyDescent="0.25">
      <c r="A20" s="134">
        <v>0.5</v>
      </c>
      <c r="B20" s="135"/>
      <c r="C20" s="136">
        <f>B15*(B17/2)</f>
        <v>500000</v>
      </c>
      <c r="D20" s="16"/>
    </row>
    <row r="21" spans="1:4" x14ac:dyDescent="0.25">
      <c r="A21" s="56">
        <v>1</v>
      </c>
      <c r="B21" s="50">
        <f>B15*B13</f>
        <v>2750000</v>
      </c>
      <c r="C21" s="51"/>
      <c r="D21" s="16"/>
    </row>
    <row r="22" spans="1:4" x14ac:dyDescent="0.25">
      <c r="A22" s="56">
        <v>1.5</v>
      </c>
      <c r="B22" s="50"/>
      <c r="C22" s="51"/>
      <c r="D22" s="16"/>
    </row>
    <row r="23" spans="1:4" x14ac:dyDescent="0.25">
      <c r="A23" s="56">
        <v>2</v>
      </c>
      <c r="B23" s="50">
        <f>B15*B13</f>
        <v>2750000</v>
      </c>
      <c r="C23" s="51"/>
      <c r="D23" s="16"/>
    </row>
    <row r="24" spans="1:4" x14ac:dyDescent="0.25">
      <c r="A24" s="56">
        <v>2.5</v>
      </c>
      <c r="B24" s="50"/>
      <c r="C24" s="51"/>
      <c r="D24" s="16"/>
    </row>
    <row r="25" spans="1:4" ht="13.8" thickBot="1" x14ac:dyDescent="0.3">
      <c r="A25" s="57">
        <v>3</v>
      </c>
      <c r="B25" s="52">
        <f>+B15*B13</f>
        <v>2750000</v>
      </c>
      <c r="C25" s="53"/>
      <c r="D25" s="16"/>
    </row>
    <row r="26" spans="1:4" x14ac:dyDescent="0.25">
      <c r="D26" s="16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32"/>
  <sheetViews>
    <sheetView zoomScale="85" zoomScaleNormal="85" workbookViewId="0"/>
  </sheetViews>
  <sheetFormatPr defaultRowHeight="13.2" x14ac:dyDescent="0.25"/>
  <cols>
    <col min="1" max="1" width="14.109375" customWidth="1"/>
    <col min="2" max="4" width="16.5546875" bestFit="1" customWidth="1"/>
    <col min="5" max="5" width="13.88671875" bestFit="1" customWidth="1"/>
    <col min="6" max="6" width="13.88671875" customWidth="1"/>
    <col min="7" max="8" width="14.21875" customWidth="1"/>
    <col min="9" max="9" width="26" customWidth="1"/>
    <col min="10" max="10" width="33.6640625" customWidth="1"/>
    <col min="11" max="11" width="12.44140625" bestFit="1" customWidth="1"/>
  </cols>
  <sheetData>
    <row r="1" spans="1:10" ht="97.5" customHeight="1" thickBot="1" x14ac:dyDescent="0.3"/>
    <row r="2" spans="1:10" ht="40.799999999999997" thickTop="1" thickBot="1" x14ac:dyDescent="0.3">
      <c r="A2" s="15" t="s">
        <v>16</v>
      </c>
      <c r="B2" s="15" t="s">
        <v>15</v>
      </c>
      <c r="C2" s="15" t="s">
        <v>14</v>
      </c>
      <c r="D2" s="15" t="s">
        <v>13</v>
      </c>
      <c r="E2" s="15" t="s">
        <v>12</v>
      </c>
      <c r="F2" s="192" t="s">
        <v>131</v>
      </c>
      <c r="G2" s="192" t="s">
        <v>132</v>
      </c>
      <c r="H2" s="147" t="s">
        <v>139</v>
      </c>
      <c r="I2" s="15" t="s">
        <v>11</v>
      </c>
      <c r="J2" s="15" t="s">
        <v>10</v>
      </c>
    </row>
    <row r="3" spans="1:10" ht="14.4" thickTop="1" thickBot="1" x14ac:dyDescent="0.3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 t="s">
        <v>138</v>
      </c>
      <c r="G3" s="15" t="s">
        <v>137</v>
      </c>
      <c r="H3" s="15">
        <v>8</v>
      </c>
      <c r="I3" s="15">
        <v>9</v>
      </c>
      <c r="J3" s="15">
        <v>10</v>
      </c>
    </row>
    <row r="4" spans="1:10" ht="14.4" thickTop="1" thickBot="1" x14ac:dyDescent="0.3">
      <c r="A4" s="15" t="s">
        <v>9</v>
      </c>
      <c r="B4" s="15" t="s">
        <v>8</v>
      </c>
      <c r="C4" s="15" t="s">
        <v>7</v>
      </c>
      <c r="D4" s="15" t="s">
        <v>6</v>
      </c>
      <c r="E4" s="15" t="s">
        <v>5</v>
      </c>
      <c r="F4" s="15" t="s">
        <v>4</v>
      </c>
      <c r="G4" s="15" t="s">
        <v>3</v>
      </c>
      <c r="H4" s="15" t="s">
        <v>2</v>
      </c>
      <c r="I4" s="15" t="s">
        <v>133</v>
      </c>
      <c r="J4" s="15" t="s">
        <v>134</v>
      </c>
    </row>
    <row r="5" spans="1:10" ht="13.8" thickTop="1" x14ac:dyDescent="0.25">
      <c r="A5" s="166" t="s">
        <v>32</v>
      </c>
      <c r="B5" s="225" t="s">
        <v>148</v>
      </c>
      <c r="C5" s="18" t="s">
        <v>52</v>
      </c>
      <c r="D5" s="17" t="s">
        <v>54</v>
      </c>
      <c r="E5" s="18" t="s">
        <v>56</v>
      </c>
      <c r="F5" s="217" t="s">
        <v>147</v>
      </c>
      <c r="G5" s="200">
        <v>0</v>
      </c>
      <c r="H5" s="200">
        <v>0</v>
      </c>
      <c r="I5" s="206">
        <v>0</v>
      </c>
      <c r="J5" s="191">
        <f>-B26*B19</f>
        <v>-812500</v>
      </c>
    </row>
    <row r="6" spans="1:10" x14ac:dyDescent="0.25">
      <c r="A6" s="168" t="s">
        <v>32</v>
      </c>
      <c r="B6" s="231" t="s">
        <v>148</v>
      </c>
      <c r="C6" s="22" t="s">
        <v>52</v>
      </c>
      <c r="D6" s="20" t="s">
        <v>53</v>
      </c>
      <c r="E6" s="22" t="s">
        <v>56</v>
      </c>
      <c r="F6" s="220" t="s">
        <v>147</v>
      </c>
      <c r="G6" s="202">
        <v>0.05</v>
      </c>
      <c r="H6" s="203">
        <v>0</v>
      </c>
      <c r="I6" s="208">
        <v>0</v>
      </c>
      <c r="J6" s="188">
        <f>-B17*B19</f>
        <v>-3250000000</v>
      </c>
    </row>
    <row r="7" spans="1:10" x14ac:dyDescent="0.25">
      <c r="A7" s="168" t="s">
        <v>33</v>
      </c>
      <c r="B7" s="231" t="s">
        <v>149</v>
      </c>
      <c r="C7" s="20" t="s">
        <v>52</v>
      </c>
      <c r="D7" s="20" t="s">
        <v>54</v>
      </c>
      <c r="E7" s="22" t="s">
        <v>56</v>
      </c>
      <c r="F7" s="220" t="s">
        <v>147</v>
      </c>
      <c r="G7" s="202">
        <v>0</v>
      </c>
      <c r="H7" s="203">
        <v>0</v>
      </c>
      <c r="I7" s="208">
        <v>0</v>
      </c>
      <c r="J7" s="188">
        <f>+C26</f>
        <v>6400000</v>
      </c>
    </row>
    <row r="8" spans="1:10" x14ac:dyDescent="0.25">
      <c r="A8" s="168" t="s">
        <v>33</v>
      </c>
      <c r="B8" s="231" t="s">
        <v>149</v>
      </c>
      <c r="C8" s="20" t="s">
        <v>52</v>
      </c>
      <c r="D8" s="20" t="s">
        <v>54</v>
      </c>
      <c r="E8" s="20" t="s">
        <v>58</v>
      </c>
      <c r="F8" s="220" t="s">
        <v>147</v>
      </c>
      <c r="G8" s="202">
        <v>0</v>
      </c>
      <c r="H8" s="203">
        <v>0</v>
      </c>
      <c r="I8" s="208">
        <v>0</v>
      </c>
      <c r="J8" s="188">
        <f>+C27</f>
        <v>3200000</v>
      </c>
    </row>
    <row r="9" spans="1:10" x14ac:dyDescent="0.25">
      <c r="A9" s="168" t="s">
        <v>33</v>
      </c>
      <c r="B9" s="231" t="s">
        <v>149</v>
      </c>
      <c r="C9" s="20" t="s">
        <v>52</v>
      </c>
      <c r="D9" s="20" t="s">
        <v>54</v>
      </c>
      <c r="E9" s="22" t="s">
        <v>59</v>
      </c>
      <c r="F9" s="220" t="s">
        <v>147</v>
      </c>
      <c r="G9" s="202">
        <v>0</v>
      </c>
      <c r="H9" s="203">
        <v>0</v>
      </c>
      <c r="I9" s="208">
        <v>0</v>
      </c>
      <c r="J9" s="188">
        <f>+C28</f>
        <v>3200000</v>
      </c>
    </row>
    <row r="10" spans="1:10" x14ac:dyDescent="0.25">
      <c r="A10" s="168" t="s">
        <v>33</v>
      </c>
      <c r="B10" s="231" t="s">
        <v>149</v>
      </c>
      <c r="C10" s="20" t="s">
        <v>52</v>
      </c>
      <c r="D10" s="20" t="s">
        <v>54</v>
      </c>
      <c r="E10" s="22" t="s">
        <v>60</v>
      </c>
      <c r="F10" s="220" t="s">
        <v>147</v>
      </c>
      <c r="G10" s="202">
        <v>0</v>
      </c>
      <c r="H10" s="203">
        <v>0</v>
      </c>
      <c r="I10" s="208">
        <v>0</v>
      </c>
      <c r="J10" s="188">
        <f>+C29</f>
        <v>3200000</v>
      </c>
    </row>
    <row r="11" spans="1:10" x14ac:dyDescent="0.25">
      <c r="A11" s="168" t="s">
        <v>33</v>
      </c>
      <c r="B11" s="231" t="s">
        <v>149</v>
      </c>
      <c r="C11" s="20" t="s">
        <v>52</v>
      </c>
      <c r="D11" s="22" t="s">
        <v>54</v>
      </c>
      <c r="E11" s="22" t="s">
        <v>61</v>
      </c>
      <c r="F11" s="220" t="s">
        <v>147</v>
      </c>
      <c r="G11" s="202">
        <v>0</v>
      </c>
      <c r="H11" s="203">
        <v>0</v>
      </c>
      <c r="I11" s="208">
        <v>0</v>
      </c>
      <c r="J11" s="188">
        <f>+C30+C31</f>
        <v>6400000</v>
      </c>
    </row>
    <row r="12" spans="1:10" ht="13.8" thickBot="1" x14ac:dyDescent="0.3">
      <c r="A12" s="180" t="s">
        <v>33</v>
      </c>
      <c r="B12" s="190" t="s">
        <v>149</v>
      </c>
      <c r="C12" s="60" t="s">
        <v>52</v>
      </c>
      <c r="D12" s="60" t="s">
        <v>53</v>
      </c>
      <c r="E12" s="60" t="s">
        <v>56</v>
      </c>
      <c r="F12" s="190" t="s">
        <v>147</v>
      </c>
      <c r="G12" s="216">
        <v>0.2</v>
      </c>
      <c r="H12" s="216">
        <v>0.2</v>
      </c>
      <c r="I12" s="212">
        <v>0</v>
      </c>
      <c r="J12" s="184">
        <f>+B18</f>
        <v>3200000000</v>
      </c>
    </row>
    <row r="13" spans="1:10" ht="13.8" thickTop="1" x14ac:dyDescent="0.25"/>
    <row r="14" spans="1:10" x14ac:dyDescent="0.25">
      <c r="A14" s="41" t="s">
        <v>34</v>
      </c>
      <c r="B14" s="32" t="s">
        <v>124</v>
      </c>
    </row>
    <row r="15" spans="1:10" x14ac:dyDescent="0.25">
      <c r="A15" s="41" t="s">
        <v>69</v>
      </c>
      <c r="B15" s="140" t="s">
        <v>71</v>
      </c>
      <c r="H15" s="23"/>
      <c r="J15" s="23"/>
    </row>
    <row r="16" spans="1:10" x14ac:dyDescent="0.25">
      <c r="A16" s="41" t="s">
        <v>70</v>
      </c>
      <c r="B16" s="140" t="s">
        <v>72</v>
      </c>
      <c r="H16" s="23"/>
    </row>
    <row r="17" spans="1:10" x14ac:dyDescent="0.25">
      <c r="A17" s="41" t="s">
        <v>88</v>
      </c>
      <c r="B17" s="114">
        <v>10000000</v>
      </c>
      <c r="C17" s="54"/>
    </row>
    <row r="18" spans="1:10" x14ac:dyDescent="0.25">
      <c r="A18" s="41" t="s">
        <v>87</v>
      </c>
      <c r="B18" s="114">
        <v>3200000000</v>
      </c>
      <c r="C18" s="54"/>
    </row>
    <row r="19" spans="1:10" x14ac:dyDescent="0.25">
      <c r="A19" s="41" t="s">
        <v>85</v>
      </c>
      <c r="B19" s="46">
        <v>325</v>
      </c>
      <c r="C19" s="24"/>
      <c r="D19" s="54"/>
      <c r="E19" s="24"/>
      <c r="F19" s="24"/>
      <c r="G19" s="24"/>
    </row>
    <row r="20" spans="1:10" x14ac:dyDescent="0.25">
      <c r="A20" s="41" t="s">
        <v>79</v>
      </c>
      <c r="B20" s="114" t="s">
        <v>65</v>
      </c>
      <c r="C20" s="24"/>
      <c r="D20" s="27"/>
      <c r="E20" s="54"/>
      <c r="F20" s="54"/>
      <c r="G20" s="54"/>
      <c r="H20" s="23"/>
    </row>
    <row r="21" spans="1:10" x14ac:dyDescent="0.25">
      <c r="A21" s="41" t="s">
        <v>71</v>
      </c>
      <c r="B21" s="55">
        <v>5.0000000000000001E-4</v>
      </c>
      <c r="C21" s="24"/>
      <c r="D21" s="27"/>
      <c r="E21" s="54"/>
      <c r="F21" s="54"/>
      <c r="G21" s="54"/>
      <c r="H21" s="23"/>
    </row>
    <row r="22" spans="1:10" x14ac:dyDescent="0.25">
      <c r="A22" s="41" t="s">
        <v>73</v>
      </c>
      <c r="B22" s="55">
        <v>2E-3</v>
      </c>
      <c r="C22" s="197"/>
      <c r="D22" s="27"/>
      <c r="E22" s="54"/>
      <c r="F22" s="54"/>
      <c r="G22" s="54"/>
      <c r="H22" s="23"/>
    </row>
    <row r="23" spans="1:10" ht="13.8" thickBot="1" x14ac:dyDescent="0.3">
      <c r="A23" s="23"/>
      <c r="E23" s="23"/>
      <c r="F23" s="23"/>
      <c r="G23" s="23"/>
    </row>
    <row r="24" spans="1:10" x14ac:dyDescent="0.25">
      <c r="A24" s="273" t="s">
        <v>86</v>
      </c>
      <c r="B24" s="271" t="s">
        <v>125</v>
      </c>
      <c r="C24" s="272"/>
      <c r="H24" s="23"/>
      <c r="I24" s="23"/>
      <c r="J24" s="23"/>
    </row>
    <row r="25" spans="1:10" ht="13.8" thickBot="1" x14ac:dyDescent="0.3">
      <c r="A25" s="274"/>
      <c r="B25" s="58" t="s">
        <v>74</v>
      </c>
      <c r="C25" s="59" t="s">
        <v>75</v>
      </c>
      <c r="H25" s="23"/>
    </row>
    <row r="26" spans="1:10" x14ac:dyDescent="0.25">
      <c r="A26" s="56">
        <v>0.5</v>
      </c>
      <c r="B26" s="50">
        <f>10000000*(B21/2)</f>
        <v>2500</v>
      </c>
      <c r="C26" s="51">
        <f>3200000000*(B22/2+20/10000/2)</f>
        <v>6400000</v>
      </c>
      <c r="H26" s="16"/>
    </row>
    <row r="27" spans="1:10" x14ac:dyDescent="0.25">
      <c r="A27" s="56">
        <v>1</v>
      </c>
      <c r="B27" s="50"/>
      <c r="C27" s="71">
        <f>3200000000*(0.002/2)</f>
        <v>3200000</v>
      </c>
      <c r="H27" s="16"/>
    </row>
    <row r="28" spans="1:10" x14ac:dyDescent="0.25">
      <c r="A28" s="56">
        <v>1.5</v>
      </c>
      <c r="B28" s="50"/>
      <c r="C28" s="71">
        <f>3200000000*(0.002/2)</f>
        <v>3200000</v>
      </c>
      <c r="H28" s="16"/>
    </row>
    <row r="29" spans="1:10" x14ac:dyDescent="0.25">
      <c r="A29" s="56">
        <v>2</v>
      </c>
      <c r="B29" s="50"/>
      <c r="C29" s="71">
        <f>3200000000*(0.002/2)</f>
        <v>3200000</v>
      </c>
      <c r="H29" s="16"/>
    </row>
    <row r="30" spans="1:10" x14ac:dyDescent="0.25">
      <c r="A30" s="56">
        <v>2.5</v>
      </c>
      <c r="B30" s="50"/>
      <c r="C30" s="71">
        <f>3200000000*(0.002/2)</f>
        <v>3200000</v>
      </c>
      <c r="H30" s="16"/>
    </row>
    <row r="31" spans="1:10" ht="13.8" thickBot="1" x14ac:dyDescent="0.3">
      <c r="A31" s="57">
        <v>3</v>
      </c>
      <c r="B31" s="52"/>
      <c r="C31" s="72">
        <f>3200000000*(0.002/2)</f>
        <v>3200000</v>
      </c>
      <c r="H31" s="16"/>
    </row>
    <row r="32" spans="1:10" x14ac:dyDescent="0.25">
      <c r="J32" s="16"/>
    </row>
  </sheetData>
  <mergeCells count="2">
    <mergeCell ref="B24:C24"/>
    <mergeCell ref="A24:A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Tartalom</vt:lpstr>
      <vt:lpstr>9R1</vt:lpstr>
      <vt:lpstr>1_corp_loan</vt:lpstr>
      <vt:lpstr>2_mortg_float</vt:lpstr>
      <vt:lpstr>3_mortg_prep</vt:lpstr>
      <vt:lpstr>4_retail_nmd</vt:lpstr>
      <vt:lpstr>5_IRS</vt:lpstr>
      <vt:lpstr>6_CCIRS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 András</dc:creator>
  <cp:lastModifiedBy>Pintér Csilla</cp:lastModifiedBy>
  <dcterms:created xsi:type="dcterms:W3CDTF">2018-11-20T12:41:07Z</dcterms:created>
  <dcterms:modified xsi:type="dcterms:W3CDTF">2024-04-08T08:10:51Z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balogha@mnb.hu</vt:lpwstr>
  </property>
  <property fmtid="{D5CDD505-2E9C-101B-9397-08002B2CF9AE}" pid="5" name="MSIP_Label_b0d11092-50c9-4e74-84b5-b1af078dc3d0_SetDate">
    <vt:lpwstr>2018-11-20T12:41:32.5543203Z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2026-03-24T09:12:13Z</vt:filetime>
  </property>
  <property fmtid="{D5CDD505-2E9C-101B-9397-08002B2CF9AE}" pid="11" name="Érvényességet beállító">
    <vt:lpwstr>balogha</vt:lpwstr>
  </property>
  <property fmtid="{D5CDD505-2E9C-101B-9397-08002B2CF9AE}" pid="12" name="Érvényességi idő első beállítása">
    <vt:filetime>2021-03-24T09:12:13Z</vt:filetime>
  </property>
</Properties>
</file>